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.nenci\Desktop\del UP 95\"/>
    </mc:Choice>
  </mc:AlternateContent>
  <xr:revisionPtr revIDLastSave="0" documentId="8_{25EDFCA0-5CEC-48A3-9AEE-561CCC363B7F}" xr6:coauthVersionLast="47" xr6:coauthVersionMax="47" xr10:uidLastSave="{00000000-0000-0000-0000-000000000000}"/>
  <bookViews>
    <workbookView xWindow="-120" yWindow="-120" windowWidth="29040" windowHeight="15840" tabRatio="877" firstSheet="3" activeTab="10"/>
  </bookViews>
  <sheets>
    <sheet name="Entrate per categoria" sheetId="7" r:id="rId1"/>
    <sheet name="Riepilogo SPESE " sheetId="8" r:id="rId2"/>
    <sheet name="Macro CORRENTI 2021" sheetId="1" r:id="rId3"/>
    <sheet name="Macro CORRENTI 2022" sheetId="2" r:id="rId4"/>
    <sheet name="Macro CORRENTI 2023" sheetId="3" r:id="rId5"/>
    <sheet name="Macro CAPITALE 2021" sheetId="4" r:id="rId6"/>
    <sheet name="Macro CAPITALE 2022" sheetId="5" r:id="rId7"/>
    <sheet name="Macro CAPITALE 2023" sheetId="6" r:id="rId8"/>
    <sheet name="Macro Partite di giro 2021" sheetId="10" r:id="rId9"/>
    <sheet name="Macro Partite di giro 2022" sheetId="11" r:id="rId10"/>
    <sheet name="Macro Partite di giro  2023" sheetId="12" r:id="rId11"/>
  </sheets>
  <definedNames>
    <definedName name="_xlnm.Print_Area" localSheetId="0">'Entrate per categoria'!$A$1:$H$69</definedName>
    <definedName name="_xlnm.Print_Area" localSheetId="5">'Macro CAPITALE 2021'!$B$1:$L$23</definedName>
    <definedName name="_xlnm.Print_Area" localSheetId="6">'Macro CAPITALE 2022'!$A$1:$M$23</definedName>
    <definedName name="_xlnm.Print_Area" localSheetId="7">'Macro CAPITALE 2023'!$A$1:$L$23</definedName>
    <definedName name="_xlnm.Print_Area" localSheetId="2">'Macro CORRENTI 2021'!$A$1:$K$63</definedName>
    <definedName name="_xlnm.Print_Area" localSheetId="3">'Macro CORRENTI 2022'!$A$1:$K$68</definedName>
    <definedName name="_xlnm.Print_Area" localSheetId="4">'Macro CORRENTI 2023'!$A$1:$K$65</definedName>
    <definedName name="_xlnm.Print_Area" localSheetId="10">'Macro Partite di giro  2023'!$A$1:$F$11</definedName>
    <definedName name="_xlnm.Print_Area" localSheetId="8">'Macro Partite di giro 2021'!$A$1:$F$11</definedName>
    <definedName name="_xlnm.Print_Area" localSheetId="9">'Macro Partite di giro 2022'!$A$1:$F$11</definedName>
    <definedName name="_xlnm.Print_Area" localSheetId="1">'Riepilogo SPESE '!$A$1:$G$42</definedName>
    <definedName name="_xlnm.Print_Titles" localSheetId="0">'Entrate per categoria'!$3:$5</definedName>
    <definedName name="_xlnm.Print_Titles" localSheetId="2">'Macro CORRENTI 2021'!$1:$3</definedName>
    <definedName name="_xlnm.Print_Titles" localSheetId="3">'Macro CORRENTI 2022'!$1:$3</definedName>
    <definedName name="_xlnm.Print_Titles" localSheetId="4">'Macro CORRENTI 2023'!$1:$3</definedName>
  </definedNames>
  <calcPr calcId="191029" fullCalcOnLoad="1"/>
</workbook>
</file>

<file path=xl/calcChain.xml><?xml version="1.0" encoding="utf-8"?>
<calcChain xmlns="http://schemas.openxmlformats.org/spreadsheetml/2006/main">
  <c r="D14" i="8" l="1"/>
  <c r="D13" i="8"/>
  <c r="D18" i="8" s="1"/>
  <c r="D39" i="8" s="1"/>
  <c r="D41" i="8" s="1"/>
  <c r="F18" i="1"/>
  <c r="G18" i="1"/>
  <c r="G19" i="1" s="1"/>
  <c r="G63" i="1" s="1"/>
  <c r="F12" i="1"/>
  <c r="I12" i="1"/>
  <c r="G6" i="1"/>
  <c r="F60" i="7"/>
  <c r="F56" i="7"/>
  <c r="F50" i="7"/>
  <c r="F48" i="7" s="1"/>
  <c r="F52" i="7" s="1"/>
  <c r="F43" i="7"/>
  <c r="F42" i="7" s="1"/>
  <c r="F36" i="7"/>
  <c r="F35" i="7"/>
  <c r="F14" i="7"/>
  <c r="E13" i="8"/>
  <c r="F13" i="8"/>
  <c r="F11" i="8"/>
  <c r="E11" i="8"/>
  <c r="D35" i="8"/>
  <c r="E15" i="4"/>
  <c r="G15" i="4" s="1"/>
  <c r="G17" i="4" s="1"/>
  <c r="E17" i="4"/>
  <c r="D11" i="4"/>
  <c r="D10" i="4"/>
  <c r="G10" i="4" s="1"/>
  <c r="G12" i="4" s="1"/>
  <c r="D9" i="4"/>
  <c r="D7" i="4"/>
  <c r="D7" i="10"/>
  <c r="F7" i="10" s="1"/>
  <c r="F8" i="10" s="1"/>
  <c r="F11" i="10" s="1"/>
  <c r="F8" i="3"/>
  <c r="K8" i="3" s="1"/>
  <c r="D8" i="3"/>
  <c r="F8" i="2"/>
  <c r="D8" i="2"/>
  <c r="J59" i="1"/>
  <c r="F11" i="1"/>
  <c r="K11" i="1"/>
  <c r="G13" i="1"/>
  <c r="F13" i="1"/>
  <c r="E12" i="1"/>
  <c r="D12" i="1"/>
  <c r="K12" i="1" s="1"/>
  <c r="J10" i="1"/>
  <c r="F10" i="1"/>
  <c r="F9" i="1"/>
  <c r="K9" i="1"/>
  <c r="F8" i="1"/>
  <c r="E8" i="1"/>
  <c r="F7" i="1"/>
  <c r="E6" i="1"/>
  <c r="K6" i="1" s="1"/>
  <c r="F19" i="1"/>
  <c r="F15" i="7"/>
  <c r="F12" i="7"/>
  <c r="F20" i="7" s="1"/>
  <c r="F14" i="8"/>
  <c r="E14" i="8"/>
  <c r="G6" i="3"/>
  <c r="G14" i="3" s="1"/>
  <c r="F6" i="3"/>
  <c r="G6" i="2"/>
  <c r="G14" i="2"/>
  <c r="F6" i="2"/>
  <c r="F14" i="2"/>
  <c r="D16" i="4"/>
  <c r="D17" i="4"/>
  <c r="F8" i="7"/>
  <c r="F17" i="8"/>
  <c r="E17" i="8"/>
  <c r="J61" i="3"/>
  <c r="K61" i="3" s="1"/>
  <c r="J64" i="2"/>
  <c r="G44" i="1"/>
  <c r="G46" i="1"/>
  <c r="F6" i="7"/>
  <c r="F7" i="7"/>
  <c r="J57" i="1"/>
  <c r="K57" i="1"/>
  <c r="J62" i="2"/>
  <c r="K62" i="2"/>
  <c r="J59" i="3"/>
  <c r="F31" i="1"/>
  <c r="K31" i="1" s="1"/>
  <c r="G40" i="1"/>
  <c r="K40" i="1" s="1"/>
  <c r="G35" i="1"/>
  <c r="G36" i="1"/>
  <c r="I14" i="1"/>
  <c r="E13" i="1"/>
  <c r="D8" i="1"/>
  <c r="D14" i="1" s="1"/>
  <c r="K21" i="6"/>
  <c r="J21" i="6"/>
  <c r="J23" i="6" s="1"/>
  <c r="I21" i="6"/>
  <c r="I23" i="6" s="1"/>
  <c r="H21" i="6"/>
  <c r="L20" i="6"/>
  <c r="K17" i="6"/>
  <c r="L17" i="6" s="1"/>
  <c r="L23" i="6" s="1"/>
  <c r="J17" i="6"/>
  <c r="I17" i="6"/>
  <c r="H17" i="6"/>
  <c r="H23" i="6" s="1"/>
  <c r="L16" i="6"/>
  <c r="L15" i="6"/>
  <c r="K12" i="6"/>
  <c r="L12" i="6"/>
  <c r="J12" i="6"/>
  <c r="I12" i="6"/>
  <c r="H12" i="6"/>
  <c r="L11" i="6"/>
  <c r="L10" i="6"/>
  <c r="L9" i="6"/>
  <c r="L8" i="6"/>
  <c r="L7" i="6"/>
  <c r="K21" i="5"/>
  <c r="J21" i="5"/>
  <c r="J23" i="5"/>
  <c r="I21" i="5"/>
  <c r="H21" i="5"/>
  <c r="L21" i="5" s="1"/>
  <c r="L20" i="5"/>
  <c r="K17" i="5"/>
  <c r="J17" i="5"/>
  <c r="L17" i="5" s="1"/>
  <c r="I17" i="5"/>
  <c r="I23" i="5" s="1"/>
  <c r="H17" i="5"/>
  <c r="L16" i="5"/>
  <c r="L15" i="5"/>
  <c r="K12" i="5"/>
  <c r="K23" i="5" s="1"/>
  <c r="J12" i="5"/>
  <c r="I12" i="5"/>
  <c r="H12" i="5"/>
  <c r="L11" i="5"/>
  <c r="L10" i="5"/>
  <c r="L9" i="5"/>
  <c r="L8" i="5"/>
  <c r="L7" i="5"/>
  <c r="F7" i="12"/>
  <c r="F8" i="12" s="1"/>
  <c r="F11" i="12" s="1"/>
  <c r="F7" i="11"/>
  <c r="F8" i="11" s="1"/>
  <c r="F11" i="11" s="1"/>
  <c r="G8" i="5"/>
  <c r="G9" i="4"/>
  <c r="G8" i="4"/>
  <c r="G7" i="4"/>
  <c r="K39" i="1"/>
  <c r="H62" i="7"/>
  <c r="H65" i="7" s="1"/>
  <c r="G62" i="7"/>
  <c r="F62" i="7"/>
  <c r="F65" i="7" s="1"/>
  <c r="H56" i="7"/>
  <c r="G56" i="7"/>
  <c r="G65" i="7" s="1"/>
  <c r="H48" i="7"/>
  <c r="G48" i="7"/>
  <c r="H45" i="7"/>
  <c r="G45" i="7"/>
  <c r="F45" i="7"/>
  <c r="H42" i="7"/>
  <c r="H52" i="7" s="1"/>
  <c r="G42" i="7"/>
  <c r="G52" i="7"/>
  <c r="H34" i="7"/>
  <c r="H38" i="7" s="1"/>
  <c r="G34" i="7"/>
  <c r="G38" i="7" s="1"/>
  <c r="H31" i="7"/>
  <c r="G31" i="7"/>
  <c r="F31" i="7"/>
  <c r="H28" i="7"/>
  <c r="G28" i="7"/>
  <c r="F28" i="7"/>
  <c r="H12" i="7"/>
  <c r="H20" i="7" s="1"/>
  <c r="G12" i="7"/>
  <c r="G20" i="7"/>
  <c r="J60" i="3"/>
  <c r="K60" i="3" s="1"/>
  <c r="D17" i="5"/>
  <c r="G20" i="5"/>
  <c r="G21" i="5"/>
  <c r="D12" i="5"/>
  <c r="E24" i="8"/>
  <c r="D24" i="8"/>
  <c r="L20" i="4"/>
  <c r="L16" i="4"/>
  <c r="L15" i="4"/>
  <c r="L8" i="4"/>
  <c r="L9" i="4"/>
  <c r="L10" i="4"/>
  <c r="L11" i="4"/>
  <c r="L7" i="4"/>
  <c r="H17" i="4"/>
  <c r="I17" i="4"/>
  <c r="J17" i="4"/>
  <c r="K17" i="4"/>
  <c r="L17" i="4" s="1"/>
  <c r="L23" i="4" s="1"/>
  <c r="I12" i="4"/>
  <c r="J12" i="4"/>
  <c r="K12" i="4"/>
  <c r="L12" i="4"/>
  <c r="H12" i="4"/>
  <c r="K21" i="4"/>
  <c r="J21" i="4"/>
  <c r="J23" i="4" s="1"/>
  <c r="L21" i="4"/>
  <c r="I21" i="4"/>
  <c r="F31" i="8"/>
  <c r="E31" i="8"/>
  <c r="D31" i="8"/>
  <c r="H21" i="4"/>
  <c r="H23" i="4" s="1"/>
  <c r="D12" i="6"/>
  <c r="J51" i="3"/>
  <c r="I51" i="3"/>
  <c r="H51" i="3"/>
  <c r="G51" i="3"/>
  <c r="F51" i="3"/>
  <c r="E51" i="3"/>
  <c r="D51" i="3"/>
  <c r="K51" i="3" s="1"/>
  <c r="K50" i="3"/>
  <c r="J54" i="2"/>
  <c r="I54" i="2"/>
  <c r="H54" i="2"/>
  <c r="G54" i="2"/>
  <c r="F54" i="2"/>
  <c r="E54" i="2"/>
  <c r="D54" i="2"/>
  <c r="K54" i="2"/>
  <c r="K53" i="2"/>
  <c r="J50" i="1"/>
  <c r="I50" i="1"/>
  <c r="H50" i="1"/>
  <c r="G50" i="1"/>
  <c r="F50" i="1"/>
  <c r="E50" i="1"/>
  <c r="D50" i="1"/>
  <c r="K50" i="1" s="1"/>
  <c r="K49" i="1"/>
  <c r="K19" i="3"/>
  <c r="G20" i="3"/>
  <c r="D14" i="3"/>
  <c r="F20" i="2"/>
  <c r="K19" i="2"/>
  <c r="E23" i="1"/>
  <c r="F23" i="1"/>
  <c r="G23" i="1"/>
  <c r="H23" i="1"/>
  <c r="I23" i="1"/>
  <c r="J23" i="1"/>
  <c r="D23" i="1"/>
  <c r="K23" i="1" s="1"/>
  <c r="K22" i="1"/>
  <c r="K23" i="2"/>
  <c r="K24" i="2" s="1"/>
  <c r="E24" i="2"/>
  <c r="F24" i="2"/>
  <c r="G24" i="2"/>
  <c r="H24" i="2"/>
  <c r="I24" i="2"/>
  <c r="J24" i="2"/>
  <c r="D24" i="2"/>
  <c r="K35" i="1"/>
  <c r="F21" i="4"/>
  <c r="F23" i="4" s="1"/>
  <c r="K10" i="1"/>
  <c r="E41" i="1"/>
  <c r="K41" i="1" s="1"/>
  <c r="F41" i="1"/>
  <c r="H41" i="1"/>
  <c r="I41" i="1"/>
  <c r="J41" i="1"/>
  <c r="D41" i="1"/>
  <c r="D8" i="12"/>
  <c r="D11" i="12" s="1"/>
  <c r="E8" i="12"/>
  <c r="E11" i="12" s="1"/>
  <c r="D8" i="11"/>
  <c r="D11" i="11"/>
  <c r="E8" i="11"/>
  <c r="E11" i="11"/>
  <c r="D8" i="10"/>
  <c r="D11" i="10"/>
  <c r="E8" i="10"/>
  <c r="E11" i="10"/>
  <c r="F37" i="8"/>
  <c r="E37" i="8"/>
  <c r="E39" i="8" s="1"/>
  <c r="E41" i="8" s="1"/>
  <c r="D37" i="8"/>
  <c r="F24" i="8"/>
  <c r="F39" i="8" s="1"/>
  <c r="F41" i="8" s="1"/>
  <c r="H24" i="7"/>
  <c r="G24" i="7"/>
  <c r="F24" i="7"/>
  <c r="D21" i="6"/>
  <c r="E21" i="6"/>
  <c r="F21" i="6"/>
  <c r="G20" i="6"/>
  <c r="G21" i="6"/>
  <c r="G16" i="6"/>
  <c r="G15" i="6"/>
  <c r="G17" i="6" s="1"/>
  <c r="G23" i="6" s="1"/>
  <c r="E17" i="6"/>
  <c r="E23" i="6" s="1"/>
  <c r="F17" i="6"/>
  <c r="D17" i="6"/>
  <c r="D23" i="6"/>
  <c r="E12" i="6"/>
  <c r="F12" i="6"/>
  <c r="F23" i="6" s="1"/>
  <c r="G9" i="6"/>
  <c r="G12" i="6"/>
  <c r="G10" i="6"/>
  <c r="G11" i="6"/>
  <c r="G7" i="6"/>
  <c r="D21" i="5"/>
  <c r="D23" i="5" s="1"/>
  <c r="E21" i="5"/>
  <c r="E23" i="5" s="1"/>
  <c r="G15" i="5"/>
  <c r="G16" i="5"/>
  <c r="G17" i="5" s="1"/>
  <c r="G9" i="5"/>
  <c r="G10" i="5"/>
  <c r="G12" i="5" s="1"/>
  <c r="G11" i="5"/>
  <c r="G7" i="5"/>
  <c r="E12" i="5"/>
  <c r="F12" i="5"/>
  <c r="E21" i="4"/>
  <c r="D21" i="4"/>
  <c r="D23" i="4" s="1"/>
  <c r="F17" i="4"/>
  <c r="G16" i="4"/>
  <c r="G11" i="4"/>
  <c r="E12" i="4"/>
  <c r="E23" i="4" s="1"/>
  <c r="F12" i="4"/>
  <c r="E62" i="3"/>
  <c r="F62" i="3"/>
  <c r="G62" i="3"/>
  <c r="H62" i="3"/>
  <c r="I62" i="3"/>
  <c r="I65" i="3" s="1"/>
  <c r="D62" i="3"/>
  <c r="E55" i="3"/>
  <c r="F55" i="3"/>
  <c r="G55" i="3"/>
  <c r="K55" i="3" s="1"/>
  <c r="H55" i="3"/>
  <c r="I55" i="3"/>
  <c r="J55" i="3"/>
  <c r="D55" i="3"/>
  <c r="E47" i="3"/>
  <c r="F47" i="3"/>
  <c r="F65" i="3" s="1"/>
  <c r="G47" i="3"/>
  <c r="H47" i="3"/>
  <c r="I47" i="3"/>
  <c r="J47" i="3"/>
  <c r="D47" i="3"/>
  <c r="E41" i="3"/>
  <c r="F41" i="3"/>
  <c r="G41" i="3"/>
  <c r="H41" i="3"/>
  <c r="I41" i="3"/>
  <c r="J41" i="3"/>
  <c r="D41" i="3"/>
  <c r="K41" i="3" s="1"/>
  <c r="E36" i="3"/>
  <c r="F36" i="3"/>
  <c r="G36" i="3"/>
  <c r="H36" i="3"/>
  <c r="I36" i="3"/>
  <c r="J36" i="3"/>
  <c r="D36" i="3"/>
  <c r="K36" i="3" s="1"/>
  <c r="E31" i="3"/>
  <c r="F31" i="3"/>
  <c r="K31" i="3" s="1"/>
  <c r="G31" i="3"/>
  <c r="H31" i="3"/>
  <c r="I31" i="3"/>
  <c r="J31" i="3"/>
  <c r="D31" i="3"/>
  <c r="E25" i="3"/>
  <c r="F25" i="3"/>
  <c r="G25" i="3"/>
  <c r="H25" i="3"/>
  <c r="I25" i="3"/>
  <c r="J25" i="3"/>
  <c r="D25" i="3"/>
  <c r="E20" i="3"/>
  <c r="F20" i="3"/>
  <c r="H20" i="3"/>
  <c r="I20" i="3"/>
  <c r="J20" i="3"/>
  <c r="D20" i="3"/>
  <c r="E14" i="3"/>
  <c r="H14" i="3"/>
  <c r="I14" i="3"/>
  <c r="J14" i="3"/>
  <c r="K7" i="3"/>
  <c r="K9" i="3"/>
  <c r="K10" i="3"/>
  <c r="K11" i="3"/>
  <c r="K12" i="3"/>
  <c r="K13" i="3"/>
  <c r="K18" i="3"/>
  <c r="K29" i="3"/>
  <c r="K30" i="3"/>
  <c r="K35" i="3"/>
  <c r="K40" i="3"/>
  <c r="K45" i="3"/>
  <c r="K46" i="3"/>
  <c r="K54" i="3"/>
  <c r="H14" i="1"/>
  <c r="E19" i="1"/>
  <c r="H19" i="1"/>
  <c r="I19" i="1"/>
  <c r="J19" i="1"/>
  <c r="D19" i="1"/>
  <c r="E27" i="1"/>
  <c r="F27" i="1"/>
  <c r="K27" i="1" s="1"/>
  <c r="G27" i="1"/>
  <c r="H27" i="1"/>
  <c r="I27" i="1"/>
  <c r="J27" i="1"/>
  <c r="D27" i="1"/>
  <c r="E32" i="1"/>
  <c r="G32" i="1"/>
  <c r="H32" i="1"/>
  <c r="I32" i="1"/>
  <c r="J32" i="1"/>
  <c r="D32" i="1"/>
  <c r="E36" i="1"/>
  <c r="F36" i="1"/>
  <c r="H36" i="1"/>
  <c r="I36" i="1"/>
  <c r="J36" i="1"/>
  <c r="D36" i="1"/>
  <c r="K36" i="1" s="1"/>
  <c r="E46" i="1"/>
  <c r="F46" i="1"/>
  <c r="H46" i="1"/>
  <c r="I46" i="1"/>
  <c r="J46" i="1"/>
  <c r="D46" i="1"/>
  <c r="K46" i="1" s="1"/>
  <c r="E54" i="1"/>
  <c r="F54" i="1"/>
  <c r="K54" i="1" s="1"/>
  <c r="G54" i="1"/>
  <c r="H54" i="1"/>
  <c r="I54" i="1"/>
  <c r="J54" i="1"/>
  <c r="D54" i="1"/>
  <c r="E60" i="1"/>
  <c r="E63" i="1" s="1"/>
  <c r="F60" i="1"/>
  <c r="G60" i="1"/>
  <c r="H60" i="1"/>
  <c r="I60" i="1"/>
  <c r="I63" i="1" s="1"/>
  <c r="D60" i="1"/>
  <c r="K60" i="1" s="1"/>
  <c r="E65" i="2"/>
  <c r="F65" i="2"/>
  <c r="K65" i="2" s="1"/>
  <c r="G65" i="2"/>
  <c r="G68" i="2" s="1"/>
  <c r="H65" i="2"/>
  <c r="H68" i="2" s="1"/>
  <c r="I65" i="2"/>
  <c r="J65" i="2"/>
  <c r="J68" i="2" s="1"/>
  <c r="D65" i="2"/>
  <c r="E58" i="2"/>
  <c r="E68" i="2" s="1"/>
  <c r="F58" i="2"/>
  <c r="G58" i="2"/>
  <c r="H58" i="2"/>
  <c r="I58" i="2"/>
  <c r="I68" i="2" s="1"/>
  <c r="J58" i="2"/>
  <c r="D58" i="2"/>
  <c r="E50" i="2"/>
  <c r="F50" i="2"/>
  <c r="G50" i="2"/>
  <c r="H50" i="2"/>
  <c r="I50" i="2"/>
  <c r="J50" i="2"/>
  <c r="D50" i="2"/>
  <c r="K50" i="2" s="1"/>
  <c r="E44" i="2"/>
  <c r="F44" i="2"/>
  <c r="G44" i="2"/>
  <c r="H44" i="2"/>
  <c r="I44" i="2"/>
  <c r="J44" i="2"/>
  <c r="D44" i="2"/>
  <c r="K44" i="2" s="1"/>
  <c r="E39" i="2"/>
  <c r="F39" i="2"/>
  <c r="G39" i="2"/>
  <c r="K39" i="2" s="1"/>
  <c r="H39" i="2"/>
  <c r="I39" i="2"/>
  <c r="J39" i="2"/>
  <c r="D39" i="2"/>
  <c r="E34" i="2"/>
  <c r="F34" i="2"/>
  <c r="K34" i="2" s="1"/>
  <c r="G34" i="2"/>
  <c r="H34" i="2"/>
  <c r="I34" i="2"/>
  <c r="J34" i="2"/>
  <c r="D34" i="2"/>
  <c r="E28" i="2"/>
  <c r="F28" i="2"/>
  <c r="K28" i="2" s="1"/>
  <c r="G28" i="2"/>
  <c r="H28" i="2"/>
  <c r="I28" i="2"/>
  <c r="J28" i="2"/>
  <c r="D28" i="2"/>
  <c r="E20" i="2"/>
  <c r="G20" i="2"/>
  <c r="H20" i="2"/>
  <c r="I20" i="2"/>
  <c r="J20" i="2"/>
  <c r="D20" i="2"/>
  <c r="K20" i="2" s="1"/>
  <c r="E14" i="2"/>
  <c r="H14" i="2"/>
  <c r="I14" i="2"/>
  <c r="J14" i="2"/>
  <c r="D14" i="2"/>
  <c r="K14" i="2" s="1"/>
  <c r="K7" i="2"/>
  <c r="K9" i="2"/>
  <c r="K10" i="2"/>
  <c r="K11" i="2"/>
  <c r="K12" i="2"/>
  <c r="K13" i="2"/>
  <c r="K18" i="2"/>
  <c r="K27" i="2"/>
  <c r="K32" i="2"/>
  <c r="K33" i="2"/>
  <c r="K38" i="2"/>
  <c r="K43" i="2"/>
  <c r="K48" i="2"/>
  <c r="K49" i="2"/>
  <c r="K57" i="2"/>
  <c r="K63" i="2"/>
  <c r="K64" i="2"/>
  <c r="K58" i="1"/>
  <c r="K53" i="1"/>
  <c r="K45" i="1"/>
  <c r="K30" i="1"/>
  <c r="K26" i="1"/>
  <c r="K17" i="1"/>
  <c r="G20" i="4"/>
  <c r="G21" i="4"/>
  <c r="K7" i="1"/>
  <c r="G41" i="1"/>
  <c r="D12" i="4"/>
  <c r="J14" i="1"/>
  <c r="F21" i="5"/>
  <c r="F23" i="5" s="1"/>
  <c r="L21" i="6"/>
  <c r="K44" i="1"/>
  <c r="H65" i="3"/>
  <c r="K23" i="6"/>
  <c r="K6" i="2"/>
  <c r="F34" i="7"/>
  <c r="E18" i="8"/>
  <c r="F18" i="8"/>
  <c r="K8" i="2"/>
  <c r="G14" i="1"/>
  <c r="K13" i="1"/>
  <c r="E14" i="1"/>
  <c r="D68" i="2"/>
  <c r="K20" i="3"/>
  <c r="D65" i="3"/>
  <c r="F38" i="7"/>
  <c r="L12" i="5"/>
  <c r="K59" i="3"/>
  <c r="J62" i="3"/>
  <c r="J65" i="3" s="1"/>
  <c r="K6" i="3"/>
  <c r="F14" i="3"/>
  <c r="K59" i="1"/>
  <c r="J60" i="1"/>
  <c r="J63" i="1" s="1"/>
  <c r="K23" i="4"/>
  <c r="E65" i="3"/>
  <c r="K47" i="3"/>
  <c r="I23" i="4"/>
  <c r="K18" i="1"/>
  <c r="F14" i="1"/>
  <c r="H63" i="1"/>
  <c r="G23" i="5" l="1"/>
  <c r="F67" i="7"/>
  <c r="F69" i="7" s="1"/>
  <c r="K14" i="1"/>
  <c r="D63" i="1"/>
  <c r="K14" i="3"/>
  <c r="G65" i="3"/>
  <c r="K68" i="2"/>
  <c r="K19" i="1"/>
  <c r="G23" i="4"/>
  <c r="G67" i="7"/>
  <c r="G69" i="7" s="1"/>
  <c r="H67" i="7"/>
  <c r="H69" i="7" s="1"/>
  <c r="L23" i="5"/>
  <c r="K58" i="2"/>
  <c r="K8" i="1"/>
  <c r="F68" i="2"/>
  <c r="H23" i="5"/>
  <c r="K62" i="3"/>
  <c r="K65" i="3" s="1"/>
  <c r="F32" i="1"/>
  <c r="K32" i="1" l="1"/>
  <c r="K63" i="1" s="1"/>
  <c r="F63" i="1"/>
</calcChain>
</file>

<file path=xl/sharedStrings.xml><?xml version="1.0" encoding="utf-8"?>
<sst xmlns="http://schemas.openxmlformats.org/spreadsheetml/2006/main" count="1492" uniqueCount="246">
  <si>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</si>
  <si>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</si>
  <si>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</si>
  <si>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</si>
  <si>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</si>
  <si>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</si>
  <si>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</si>
  <si>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</si>
  <si>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</si>
  <si>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</si>
  <si>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</si>
  <si>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</si>
  <si>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</si>
  <si>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</si>
  <si>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</si>
  <si>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</si>
  <si>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</si>
  <si>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</si>
  <si>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</si>
  <si>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</si>
  <si>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</si>
  <si>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</si>
  <si>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</si>
  <si>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</si>
  <si>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</si>
  <si>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</si>
  <si>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</si>
  <si>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</si>
  <si>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</si>
  <si>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</si>
  <si>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</si>
  <si>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</si>
  <si>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</si>
  <si>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</si>
  <si>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</si>
  <si>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</si>
  <si>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</si>
  <si>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</si>
  <si>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</si>
  <si>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</si>
  <si>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</si>
  <si>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</si>
  <si>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</si>
  <si>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</si>
  <si>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</si>
  <si>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</si>
  <si>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</si>
  <si>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</si>
  <si>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</si>
  <si>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</si>
  <si>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</si>
  <si>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</si>
  <si>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</si>
  <si>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</si>
  <si>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</si>
  <si>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</si>
  <si>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</si>
  <si>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</si>
  <si>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</si>
  <si>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</si>
  <si>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</si>
  <si>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</si>
  <si>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</si>
  <si>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</si>
  <si>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</si>
  <si>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</si>
  <si>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</si>
  <si>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</si>
  <si>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</si>
  <si>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</si>
  <si>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</si>
  <si>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</si>
  <si>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</si>
  <si>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</si>
  <si>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</si>
  <si>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</si>
  <si>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</si>
  <si>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</si>
  <si>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</si>
  <si>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</si>
  <si>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2021</t>
  </si>
  <si>
    <t>SPESE PER MISSIONI, PROGRAMMI E MACROAGGREGATI
SPESE CORRENTI - PREVISIONI DI COMPETENZA
Esercizio finanziario 2022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</si>
  <si>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</si>
  <si>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</si>
  <si>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</si>
  <si>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</si>
  <si>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</si>
  <si>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</si>
  <si>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</si>
  <si>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</si>
  <si>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2021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</si>
  <si>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</si>
  <si>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</si>
  <si>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</si>
  <si>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2021</t>
  </si>
  <si>
    <t>PREVISIONI DELL'ANNO 2022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</si>
  <si>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</si>
  <si>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</si>
  <si>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</si>
  <si>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</si>
  <si>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</si>
  <si>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</si>
  <si>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</si>
  <si>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</si>
  <si>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</si>
  <si>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</si>
  <si>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</si>
  <si>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</si>
  <si>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</si>
  <si>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</si>
  <si>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</si>
  <si>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</si>
  <si>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</si>
  <si>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</si>
  <si>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</si>
  <si>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</si>
  <si>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</si>
  <si>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</si>
  <si>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</si>
  <si>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</si>
  <si>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</si>
  <si>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</si>
  <si>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</si>
  <si>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</si>
  <si>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</si>
  <si>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</si>
  <si>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</si>
  <si>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</si>
  <si>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</si>
  <si>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</si>
  <si>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</si>
  <si>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</si>
  <si>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</si>
  <si>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</si>
  <si>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</si>
  <si>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</si>
  <si>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</si>
  <si>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</si>
  <si>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</si>
  <si>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</si>
  <si>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</si>
  <si>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</si>
  <si>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</si>
  <si>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</si>
  <si>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</si>
  <si>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</si>
  <si>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</si>
  <si>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</si>
  <si>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</si>
  <si>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</si>
  <si>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</si>
  <si>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</si>
  <si>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</si>
  <si>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</si>
  <si>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</si>
  <si>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</si>
  <si>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</si>
  <si>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</si>
  <si>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</si>
  <si>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</si>
  <si>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</si>
  <si>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</si>
  <si>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</si>
  <si>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</si>
  <si>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</si>
  <si>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</si>
  <si>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</si>
  <si>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</si>
  <si>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</si>
  <si>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</si>
  <si>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</si>
  <si>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</si>
  <si>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</si>
  <si>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</si>
  <si>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2021</t>
  </si>
  <si>
    <t>Previsioni dell'anno 2022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</si>
  <si>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</si>
  <si>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</si>
  <si>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</si>
  <si>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</si>
  <si>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</si>
  <si>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</si>
  <si>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</si>
  <si>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</si>
  <si>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</si>
  <si>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</si>
  <si>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</si>
  <si>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</si>
  <si>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</si>
  <si>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</si>
  <si>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</si>
  <si>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</si>
  <si>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</si>
  <si>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</si>
  <si>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</si>
  <si>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</si>
  <si>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</si>
  <si>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</si>
  <si>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</si>
  <si>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</si>
  <si>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</si>
  <si>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</si>
  <si>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</si>
  <si>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</si>
  <si>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</si>
  <si>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</si>
  <si>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</si>
  <si>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</si>
  <si>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</si>
  <si>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</si>
  <si>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</si>
  <si>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</si>
  <si>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</si>
  <si>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2021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</si>
  <si>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</si>
  <si>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</si>
  <si>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</si>
  <si>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Avanzo di Amministrazione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</si>
  <si>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</si>
  <si>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</si>
  <si>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</si>
  <si>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</si>
  <si>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</si>
  <si>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</si>
  <si>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</si>
  <si>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</si>
  <si>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</si>
  <si>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</si>
  <si>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</si>
  <si>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</si>
  <si>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</si>
  <si>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</si>
  <si>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</si>
  <si>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</si>
  <si>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</si>
  <si>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</si>
  <si>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</si>
  <si>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</si>
  <si>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</si>
  <si>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>PREVISIONI DELL'ANNO 2023</t>
  </si>
  <si>
    <t>SPESE PER MISSIONI, PROGRAMMI E MACROAGGREGATI
SPESE CORRENTI - PREVISIONI DI COMPETENZA
Esercizio finanziario 2023</t>
  </si>
  <si>
    <t>SPESE PER MISSIONI, PROGRAMMI E MACROAGGREGATI
SPESE IN CONTO CAPITALE E SPESE PER INCREMENTO DI ATTIVITA' FINANZIARIE
PREVISIONI DI COMPETENZA
Esercizio finanziario 2023</t>
  </si>
  <si>
    <t>SPESE PER MISSIONI, PROGRAMMI E MACROAGGREGATI
SPESE PER SERVIZI PER CONTO TERZI E PARTITE DI GIRO
PREVISIONI DI COMPETENZA
Esercizio finanziario 2023</t>
  </si>
  <si>
    <t>Previsioni dell'anno 2023</t>
  </si>
  <si>
    <t>Allegato B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</si>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</sst>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36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270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8" fillId="0" borderId="0" xfId="0" applyFont="1"/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4" fillId="3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right" vertical="center"/>
    </xf>
    <xf numFmtId="49" fontId="16" fillId="2" borderId="9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7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1" fillId="2" borderId="8" xfId="0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49" fontId="25" fillId="2" borderId="4" xfId="0" applyNumberFormat="1" applyFont="1" applyFill="1" applyBorder="1" applyAlignment="1">
      <alignment horizontal="left" vertical="center"/>
    </xf>
    <xf numFmtId="49" fontId="21" fillId="2" borderId="4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49" fontId="22" fillId="2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vertical="center" wrapText="1"/>
    </xf>
    <xf numFmtId="49" fontId="9" fillId="2" borderId="16" xfId="0" applyNumberFormat="1" applyFont="1" applyFill="1" applyBorder="1" applyAlignment="1">
      <alignment vertical="center" wrapText="1"/>
    </xf>
    <xf numFmtId="4" fontId="14" fillId="3" borderId="17" xfId="0" applyNumberFormat="1" applyFont="1" applyFill="1" applyBorder="1" applyAlignment="1">
      <alignment vertical="center"/>
    </xf>
    <xf numFmtId="0" fontId="14" fillId="3" borderId="18" xfId="0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horizontal="left" vertical="center"/>
    </xf>
    <xf numFmtId="179" fontId="33" fillId="2" borderId="0" xfId="1" applyFont="1" applyFill="1" applyAlignment="1">
      <alignment horizontal="left"/>
    </xf>
    <xf numFmtId="0" fontId="34" fillId="4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49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8" fillId="4" borderId="0" xfId="0" applyFont="1" applyFill="1" applyAlignment="1">
      <alignment wrapText="1"/>
    </xf>
    <xf numFmtId="0" fontId="8" fillId="4" borderId="0" xfId="0" applyFont="1" applyFill="1"/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left" vertical="center"/>
    </xf>
    <xf numFmtId="49" fontId="27" fillId="2" borderId="24" xfId="0" applyNumberFormat="1" applyFont="1" applyFill="1" applyBorder="1" applyAlignment="1">
      <alignment horizontal="left" vertical="center"/>
    </xf>
    <xf numFmtId="49" fontId="21" fillId="2" borderId="25" xfId="0" applyNumberFormat="1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4" fontId="14" fillId="3" borderId="26" xfId="0" applyNumberFormat="1" applyFont="1" applyFill="1" applyBorder="1" applyAlignment="1">
      <alignment vertical="center"/>
    </xf>
    <xf numFmtId="4" fontId="14" fillId="3" borderId="27" xfId="0" applyNumberFormat="1" applyFont="1" applyFill="1" applyBorder="1" applyAlignment="1">
      <alignment vertical="center"/>
    </xf>
    <xf numFmtId="4" fontId="14" fillId="3" borderId="12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35" fillId="4" borderId="22" xfId="0" applyNumberFormat="1" applyFont="1" applyFill="1" applyBorder="1"/>
    <xf numFmtId="4" fontId="2" fillId="4" borderId="22" xfId="0" applyNumberFormat="1" applyFont="1" applyFill="1" applyBorder="1"/>
    <xf numFmtId="4" fontId="2" fillId="4" borderId="12" xfId="0" applyNumberFormat="1" applyFont="1" applyFill="1" applyBorder="1"/>
    <xf numFmtId="4" fontId="14" fillId="3" borderId="22" xfId="0" applyNumberFormat="1" applyFont="1" applyFill="1" applyBorder="1" applyAlignment="1">
      <alignment vertical="center"/>
    </xf>
    <xf numFmtId="0" fontId="9" fillId="3" borderId="22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4" fontId="9" fillId="3" borderId="22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9" fillId="3" borderId="28" xfId="0" applyNumberFormat="1" applyFont="1" applyFill="1" applyBorder="1" applyAlignment="1">
      <alignment vertical="center"/>
    </xf>
    <xf numFmtId="4" fontId="9" fillId="3" borderId="29" xfId="0" applyNumberFormat="1" applyFont="1" applyFill="1" applyBorder="1" applyAlignment="1">
      <alignment vertical="center"/>
    </xf>
    <xf numFmtId="179" fontId="9" fillId="3" borderId="8" xfId="1" applyFont="1" applyFill="1" applyBorder="1" applyAlignment="1">
      <alignment horizontal="center" vertical="center"/>
    </xf>
    <xf numFmtId="179" fontId="9" fillId="3" borderId="14" xfId="1" applyFont="1" applyFill="1" applyBorder="1" applyAlignment="1">
      <alignment horizontal="center" vertical="center"/>
    </xf>
    <xf numFmtId="179" fontId="9" fillId="3" borderId="30" xfId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4" fontId="9" fillId="3" borderId="30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0" fontId="18" fillId="3" borderId="0" xfId="0" applyFont="1" applyFill="1" applyAlignment="1">
      <alignment horizontal="left"/>
    </xf>
    <xf numFmtId="49" fontId="21" fillId="3" borderId="2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3" fillId="3" borderId="32" xfId="0" applyFont="1" applyFill="1" applyBorder="1" applyAlignment="1">
      <alignment horizontal="left"/>
    </xf>
    <xf numFmtId="0" fontId="18" fillId="3" borderId="32" xfId="0" applyFont="1" applyFill="1" applyBorder="1" applyAlignment="1">
      <alignment horizontal="left"/>
    </xf>
    <xf numFmtId="4" fontId="21" fillId="3" borderId="8" xfId="0" applyNumberFormat="1" applyFont="1" applyFill="1" applyBorder="1" applyAlignment="1">
      <alignment horizontal="right" vertical="center"/>
    </xf>
    <xf numFmtId="4" fontId="21" fillId="3" borderId="20" xfId="0" applyNumberFormat="1" applyFont="1" applyFill="1" applyBorder="1" applyAlignment="1">
      <alignment horizontal="right" vertical="center"/>
    </xf>
    <xf numFmtId="49" fontId="25" fillId="3" borderId="26" xfId="0" applyNumberFormat="1" applyFont="1" applyFill="1" applyBorder="1" applyAlignment="1">
      <alignment horizontal="left" vertical="center"/>
    </xf>
    <xf numFmtId="49" fontId="25" fillId="3" borderId="33" xfId="0" applyNumberFormat="1" applyFont="1" applyFill="1" applyBorder="1" applyAlignment="1">
      <alignment horizontal="left" vertical="center"/>
    </xf>
    <xf numFmtId="49" fontId="25" fillId="3" borderId="4" xfId="0" applyNumberFormat="1" applyFont="1" applyFill="1" applyBorder="1" applyAlignment="1">
      <alignment horizontal="left" vertical="center"/>
    </xf>
    <xf numFmtId="4" fontId="27" fillId="3" borderId="12" xfId="0" applyNumberFormat="1" applyFont="1" applyFill="1" applyBorder="1" applyAlignment="1">
      <alignment horizontal="right" vertical="center"/>
    </xf>
    <xf numFmtId="4" fontId="27" fillId="3" borderId="32" xfId="0" applyNumberFormat="1" applyFont="1" applyFill="1" applyBorder="1" applyAlignment="1">
      <alignment horizontal="right" vertical="center"/>
    </xf>
    <xf numFmtId="4" fontId="27" fillId="3" borderId="5" xfId="0" applyNumberFormat="1" applyFont="1" applyFill="1" applyBorder="1" applyAlignment="1">
      <alignment horizontal="right" vertical="center"/>
    </xf>
    <xf numFmtId="4" fontId="21" fillId="3" borderId="18" xfId="0" applyNumberFormat="1" applyFont="1" applyFill="1" applyBorder="1" applyAlignment="1">
      <alignment horizontal="right" vertical="center"/>
    </xf>
    <xf numFmtId="4" fontId="21" fillId="3" borderId="34" xfId="0" applyNumberFormat="1" applyFont="1" applyFill="1" applyBorder="1" applyAlignment="1">
      <alignment horizontal="right" vertical="center"/>
    </xf>
    <xf numFmtId="4" fontId="21" fillId="3" borderId="6" xfId="0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left"/>
    </xf>
    <xf numFmtId="0" fontId="28" fillId="3" borderId="32" xfId="0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 vertical="center"/>
    </xf>
    <xf numFmtId="4" fontId="21" fillId="3" borderId="32" xfId="0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3" borderId="32" xfId="0" applyFont="1" applyFill="1" applyBorder="1" applyAlignment="1">
      <alignment horizontal="left" vertical="center"/>
    </xf>
    <xf numFmtId="179" fontId="21" fillId="3" borderId="20" xfId="1" applyFont="1" applyFill="1" applyBorder="1" applyAlignment="1">
      <alignment horizontal="right" vertical="center"/>
    </xf>
    <xf numFmtId="0" fontId="0" fillId="4" borderId="0" xfId="0" applyFill="1"/>
    <xf numFmtId="4" fontId="3" fillId="3" borderId="5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2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left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top" wrapText="1"/>
    </xf>
    <xf numFmtId="0" fontId="10" fillId="3" borderId="0" xfId="2" applyFont="1" applyFill="1" applyAlignment="1">
      <alignment horizontal="left"/>
    </xf>
    <xf numFmtId="0" fontId="10" fillId="3" borderId="0" xfId="2" applyFont="1" applyFill="1" applyAlignment="1">
      <alignment horizontal="left" wrapText="1"/>
    </xf>
    <xf numFmtId="49" fontId="4" fillId="3" borderId="20" xfId="2" applyNumberFormat="1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left"/>
    </xf>
    <xf numFmtId="49" fontId="4" fillId="3" borderId="20" xfId="2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 wrapText="1"/>
    </xf>
    <xf numFmtId="49" fontId="5" fillId="3" borderId="0" xfId="2" applyNumberFormat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3" fillId="3" borderId="0" xfId="2" applyFont="1" applyFill="1" applyAlignment="1">
      <alignment horizontal="left" vertical="center"/>
    </xf>
    <xf numFmtId="49" fontId="6" fillId="3" borderId="4" xfId="2" applyNumberFormat="1" applyFont="1" applyFill="1" applyBorder="1" applyAlignment="1">
      <alignment horizontal="center" vertical="center"/>
    </xf>
    <xf numFmtId="49" fontId="6" fillId="3" borderId="4" xfId="2" applyNumberFormat="1" applyFont="1" applyFill="1" applyBorder="1" applyAlignment="1">
      <alignment horizontal="left" vertical="center" wrapText="1"/>
    </xf>
    <xf numFmtId="49" fontId="5" fillId="3" borderId="4" xfId="2" applyNumberFormat="1" applyFont="1" applyFill="1" applyBorder="1" applyAlignment="1">
      <alignment horizontal="left" vertical="center"/>
    </xf>
    <xf numFmtId="0" fontId="3" fillId="3" borderId="33" xfId="2" applyFont="1" applyFill="1" applyBorder="1" applyAlignment="1">
      <alignment horizontal="left" vertical="center"/>
    </xf>
    <xf numFmtId="49" fontId="3" fillId="3" borderId="5" xfId="2" applyNumberFormat="1" applyFont="1" applyFill="1" applyBorder="1" applyAlignment="1">
      <alignment horizontal="center" vertical="center"/>
    </xf>
    <xf numFmtId="49" fontId="3" fillId="3" borderId="5" xfId="2" applyNumberFormat="1" applyFont="1" applyFill="1" applyBorder="1" applyAlignment="1">
      <alignment horizontal="left" vertical="center" wrapText="1"/>
    </xf>
    <xf numFmtId="4" fontId="3" fillId="3" borderId="5" xfId="2" applyNumberFormat="1" applyFont="1" applyFill="1" applyBorder="1" applyAlignment="1">
      <alignment horizontal="right" vertical="center"/>
    </xf>
    <xf numFmtId="4" fontId="3" fillId="3" borderId="32" xfId="2" applyNumberFormat="1" applyFont="1" applyFill="1" applyBorder="1" applyAlignment="1">
      <alignment horizontal="right" vertical="center"/>
    </xf>
    <xf numFmtId="0" fontId="3" fillId="3" borderId="6" xfId="2" applyFont="1" applyFill="1" applyBorder="1" applyAlignment="1">
      <alignment horizontal="left" vertical="center"/>
    </xf>
    <xf numFmtId="49" fontId="6" fillId="3" borderId="6" xfId="2" applyNumberFormat="1" applyFont="1" applyFill="1" applyBorder="1" applyAlignment="1">
      <alignment horizontal="left" vertical="center" wrapText="1"/>
    </xf>
    <xf numFmtId="4" fontId="4" fillId="3" borderId="6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horizontal="left" wrapText="1"/>
    </xf>
    <xf numFmtId="4" fontId="4" fillId="3" borderId="20" xfId="2" applyNumberFormat="1" applyFont="1" applyFill="1" applyBorder="1" applyAlignment="1">
      <alignment horizontal="right" vertical="center"/>
    </xf>
    <xf numFmtId="0" fontId="2" fillId="4" borderId="0" xfId="2" applyFill="1"/>
    <xf numFmtId="0" fontId="2" fillId="4" borderId="0" xfId="2" applyFill="1" applyAlignment="1">
      <alignment wrapText="1"/>
    </xf>
    <xf numFmtId="0" fontId="9" fillId="3" borderId="0" xfId="2" applyFont="1" applyFill="1" applyAlignment="1">
      <alignment vertical="top" wrapText="1"/>
    </xf>
    <xf numFmtId="0" fontId="11" fillId="3" borderId="0" xfId="2" applyFont="1" applyFill="1" applyAlignment="1">
      <alignment horizontal="left"/>
    </xf>
    <xf numFmtId="0" fontId="12" fillId="3" borderId="0" xfId="2" applyFont="1" applyFill="1" applyAlignment="1">
      <alignment horizontal="left" vertical="center"/>
    </xf>
    <xf numFmtId="0" fontId="12" fillId="3" borderId="0" xfId="2" applyFont="1" applyFill="1" applyAlignment="1">
      <alignment horizontal="left" vertical="center" wrapText="1"/>
    </xf>
    <xf numFmtId="49" fontId="12" fillId="3" borderId="0" xfId="2" applyNumberFormat="1" applyFont="1" applyFill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49" fontId="13" fillId="3" borderId="0" xfId="2" applyNumberFormat="1" applyFont="1" applyFill="1" applyAlignment="1">
      <alignment horizontal="left" vertical="center"/>
    </xf>
    <xf numFmtId="0" fontId="14" fillId="3" borderId="0" xfId="2" applyFont="1" applyFill="1" applyAlignment="1">
      <alignment horizontal="left"/>
    </xf>
    <xf numFmtId="49" fontId="9" fillId="3" borderId="20" xfId="2" applyNumberFormat="1" applyFont="1" applyFill="1" applyBorder="1" applyAlignment="1">
      <alignment horizontal="center" vertical="center" wrapText="1"/>
    </xf>
    <xf numFmtId="49" fontId="9" fillId="3" borderId="20" xfId="2" applyNumberFormat="1" applyFont="1" applyFill="1" applyBorder="1" applyAlignment="1">
      <alignment horizontal="center" vertical="center"/>
    </xf>
    <xf numFmtId="0" fontId="15" fillId="3" borderId="0" xfId="2" applyFont="1" applyFill="1" applyAlignment="1">
      <alignment horizontal="left"/>
    </xf>
    <xf numFmtId="0" fontId="16" fillId="3" borderId="0" xfId="2" applyFont="1" applyFill="1" applyAlignment="1">
      <alignment horizontal="left" vertical="center"/>
    </xf>
    <xf numFmtId="0" fontId="16" fillId="3" borderId="0" xfId="2" applyFont="1" applyFill="1" applyAlignment="1">
      <alignment horizontal="left" vertical="center" wrapText="1"/>
    </xf>
    <xf numFmtId="49" fontId="15" fillId="3" borderId="0" xfId="2" applyNumberFormat="1" applyFont="1" applyFill="1" applyAlignment="1">
      <alignment horizontal="left" vertical="center"/>
    </xf>
    <xf numFmtId="0" fontId="15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49" fontId="16" fillId="3" borderId="4" xfId="2" applyNumberFormat="1" applyFont="1" applyFill="1" applyBorder="1" applyAlignment="1">
      <alignment horizontal="center" vertical="center"/>
    </xf>
    <xf numFmtId="49" fontId="16" fillId="3" borderId="4" xfId="2" applyNumberFormat="1" applyFont="1" applyFill="1" applyBorder="1" applyAlignment="1">
      <alignment horizontal="left" vertical="center" wrapText="1"/>
    </xf>
    <xf numFmtId="49" fontId="15" fillId="3" borderId="4" xfId="2" applyNumberFormat="1" applyFont="1" applyFill="1" applyBorder="1" applyAlignment="1">
      <alignment horizontal="left" vertical="center"/>
    </xf>
    <xf numFmtId="0" fontId="14" fillId="3" borderId="33" xfId="2" applyFont="1" applyFill="1" applyBorder="1" applyAlignment="1">
      <alignment horizontal="left" vertical="center"/>
    </xf>
    <xf numFmtId="49" fontId="17" fillId="3" borderId="0" xfId="2" applyNumberFormat="1" applyFont="1" applyFill="1" applyAlignment="1">
      <alignment horizontal="left"/>
    </xf>
    <xf numFmtId="49" fontId="14" fillId="3" borderId="5" xfId="2" applyNumberFormat="1" applyFont="1" applyFill="1" applyBorder="1" applyAlignment="1">
      <alignment horizontal="center" vertical="center"/>
    </xf>
    <xf numFmtId="49" fontId="14" fillId="3" borderId="5" xfId="2" applyNumberFormat="1" applyFont="1" applyFill="1" applyBorder="1" applyAlignment="1">
      <alignment horizontal="left" vertical="center" wrapText="1"/>
    </xf>
    <xf numFmtId="4" fontId="14" fillId="3" borderId="5" xfId="2" applyNumberFormat="1" applyFont="1" applyFill="1" applyBorder="1" applyAlignment="1">
      <alignment horizontal="right" vertical="center"/>
    </xf>
    <xf numFmtId="4" fontId="14" fillId="3" borderId="32" xfId="2" applyNumberFormat="1" applyFont="1" applyFill="1" applyBorder="1" applyAlignment="1">
      <alignment horizontal="right" vertical="center"/>
    </xf>
    <xf numFmtId="0" fontId="17" fillId="3" borderId="0" xfId="2" applyFont="1" applyFill="1" applyAlignment="1">
      <alignment horizontal="left"/>
    </xf>
    <xf numFmtId="0" fontId="14" fillId="3" borderId="6" xfId="2" applyFont="1" applyFill="1" applyBorder="1" applyAlignment="1">
      <alignment horizontal="left" vertical="center"/>
    </xf>
    <xf numFmtId="49" fontId="16" fillId="3" borderId="6" xfId="2" applyNumberFormat="1" applyFont="1" applyFill="1" applyBorder="1" applyAlignment="1">
      <alignment horizontal="left" vertical="center" wrapText="1"/>
    </xf>
    <xf numFmtId="4" fontId="9" fillId="3" borderId="6" xfId="2" applyNumberFormat="1" applyFont="1" applyFill="1" applyBorder="1" applyAlignment="1">
      <alignment horizontal="right" vertical="center"/>
    </xf>
    <xf numFmtId="0" fontId="14" fillId="3" borderId="0" xfId="2" applyFont="1" applyFill="1" applyAlignment="1">
      <alignment horizontal="left" wrapText="1"/>
    </xf>
    <xf numFmtId="4" fontId="9" fillId="3" borderId="34" xfId="2" applyNumberFormat="1" applyFont="1" applyFill="1" applyBorder="1" applyAlignment="1">
      <alignment horizontal="right" vertical="center"/>
    </xf>
    <xf numFmtId="4" fontId="9" fillId="3" borderId="20" xfId="2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9" fillId="3" borderId="0" xfId="0" applyFont="1" applyFill="1" applyAlignment="1">
      <alignment horizontal="left"/>
    </xf>
    <xf numFmtId="49" fontId="30" fillId="3" borderId="20" xfId="0" applyNumberFormat="1" applyFont="1" applyFill="1" applyBorder="1" applyAlignment="1">
      <alignment horizontal="center" vertical="center" wrapText="1"/>
    </xf>
    <xf numFmtId="49" fontId="30" fillId="3" borderId="20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49" fontId="32" fillId="3" borderId="0" xfId="0" applyNumberFormat="1" applyFont="1" applyFill="1" applyAlignment="1">
      <alignment horizontal="left" vertical="center"/>
    </xf>
    <xf numFmtId="0" fontId="29" fillId="3" borderId="0" xfId="0" applyFont="1" applyFill="1" applyAlignment="1">
      <alignment horizontal="right" vertical="center"/>
    </xf>
    <xf numFmtId="49" fontId="31" fillId="3" borderId="4" xfId="0" applyNumberFormat="1" applyFont="1" applyFill="1" applyBorder="1" applyAlignment="1">
      <alignment horizontal="center" vertical="center"/>
    </xf>
    <xf numFmtId="49" fontId="31" fillId="3" borderId="4" xfId="0" applyNumberFormat="1" applyFont="1" applyFill="1" applyBorder="1" applyAlignment="1">
      <alignment horizontal="left" vertical="center"/>
    </xf>
    <xf numFmtId="49" fontId="32" fillId="3" borderId="4" xfId="0" applyNumberFormat="1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right" vertical="center"/>
    </xf>
    <xf numFmtId="49" fontId="29" fillId="3" borderId="5" xfId="0" applyNumberFormat="1" applyFont="1" applyFill="1" applyBorder="1" applyAlignment="1">
      <alignment horizontal="center" vertical="center"/>
    </xf>
    <xf numFmtId="49" fontId="29" fillId="3" borderId="5" xfId="0" applyNumberFormat="1" applyFont="1" applyFill="1" applyBorder="1" applyAlignment="1">
      <alignment horizontal="left" vertical="center" wrapText="1"/>
    </xf>
    <xf numFmtId="4" fontId="29" fillId="3" borderId="5" xfId="0" applyNumberFormat="1" applyFont="1" applyFill="1" applyBorder="1" applyAlignment="1">
      <alignment horizontal="right" vertical="center"/>
    </xf>
    <xf numFmtId="0" fontId="29" fillId="3" borderId="35" xfId="0" applyFont="1" applyFill="1" applyBorder="1" applyAlignment="1">
      <alignment horizontal="left" vertical="center"/>
    </xf>
    <xf numFmtId="49" fontId="31" fillId="3" borderId="6" xfId="0" applyNumberFormat="1" applyFont="1" applyFill="1" applyBorder="1" applyAlignment="1">
      <alignment horizontal="left" vertical="center"/>
    </xf>
    <xf numFmtId="4" fontId="30" fillId="3" borderId="6" xfId="0" applyNumberFormat="1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0" fillId="3" borderId="0" xfId="0" applyFont="1" applyFill="1" applyAlignment="1">
      <alignment horizontal="left" vertical="center"/>
    </xf>
    <xf numFmtId="4" fontId="30" fillId="3" borderId="20" xfId="0" applyNumberFormat="1" applyFont="1" applyFill="1" applyBorder="1" applyAlignment="1">
      <alignment horizontal="right" vertical="center"/>
    </xf>
    <xf numFmtId="0" fontId="29" fillId="3" borderId="6" xfId="0" applyFont="1" applyFill="1" applyBorder="1" applyAlignment="1">
      <alignment horizontal="left" vertical="center"/>
    </xf>
    <xf numFmtId="49" fontId="16" fillId="2" borderId="5" xfId="0" applyNumberFormat="1" applyFont="1" applyFill="1" applyBorder="1" applyAlignment="1">
      <alignment horizontal="left" vertical="center" wrapText="1"/>
    </xf>
    <xf numFmtId="49" fontId="4" fillId="3" borderId="2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49" fontId="22" fillId="2" borderId="20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3" borderId="2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top" wrapText="1"/>
    </xf>
    <xf numFmtId="49" fontId="4" fillId="3" borderId="23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49" fontId="4" fillId="3" borderId="25" xfId="2" applyNumberFormat="1" applyFont="1" applyFill="1" applyBorder="1" applyAlignment="1">
      <alignment horizontal="center" vertical="center"/>
    </xf>
    <xf numFmtId="49" fontId="4" fillId="3" borderId="34" xfId="2" applyNumberFormat="1" applyFont="1" applyFill="1" applyBorder="1" applyAlignment="1">
      <alignment horizontal="center" vertical="center"/>
    </xf>
    <xf numFmtId="49" fontId="6" fillId="3" borderId="8" xfId="2" applyNumberFormat="1" applyFont="1" applyFill="1" applyBorder="1" applyAlignment="1">
      <alignment horizontal="right" vertical="center"/>
    </xf>
    <xf numFmtId="49" fontId="6" fillId="3" borderId="9" xfId="2" applyNumberFormat="1" applyFont="1" applyFill="1" applyBorder="1" applyAlignment="1">
      <alignment horizontal="right" vertical="center"/>
    </xf>
    <xf numFmtId="0" fontId="9" fillId="3" borderId="0" xfId="2" applyFont="1" applyFill="1" applyAlignment="1">
      <alignment horizontal="center" vertical="top" wrapText="1"/>
    </xf>
    <xf numFmtId="49" fontId="9" fillId="3" borderId="23" xfId="2" applyNumberFormat="1" applyFont="1" applyFill="1" applyBorder="1" applyAlignment="1">
      <alignment horizontal="center" vertical="center"/>
    </xf>
    <xf numFmtId="49" fontId="9" fillId="3" borderId="33" xfId="2" applyNumberFormat="1" applyFont="1" applyFill="1" applyBorder="1" applyAlignment="1">
      <alignment horizontal="center" vertical="center"/>
    </xf>
    <xf numFmtId="49" fontId="9" fillId="3" borderId="25" xfId="2" applyNumberFormat="1" applyFont="1" applyFill="1" applyBorder="1" applyAlignment="1">
      <alignment horizontal="center" vertical="center"/>
    </xf>
    <xf numFmtId="49" fontId="9" fillId="3" borderId="34" xfId="2" applyNumberFormat="1" applyFont="1" applyFill="1" applyBorder="1" applyAlignment="1">
      <alignment horizontal="center" vertical="center"/>
    </xf>
    <xf numFmtId="49" fontId="16" fillId="3" borderId="8" xfId="2" applyNumberFormat="1" applyFont="1" applyFill="1" applyBorder="1" applyAlignment="1">
      <alignment horizontal="right" vertical="center"/>
    </xf>
    <xf numFmtId="49" fontId="16" fillId="3" borderId="9" xfId="2" applyNumberFormat="1" applyFont="1" applyFill="1" applyBorder="1" applyAlignment="1">
      <alignment horizontal="right" vertical="center"/>
    </xf>
    <xf numFmtId="49" fontId="30" fillId="3" borderId="20" xfId="0" applyNumberFormat="1" applyFont="1" applyFill="1" applyBorder="1" applyAlignment="1">
      <alignment horizontal="center" vertical="center"/>
    </xf>
    <xf numFmtId="49" fontId="31" fillId="3" borderId="20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zoomScale="90" zoomScaleNormal="90" zoomScaleSheetLayoutView="90" workbookViewId="0">
      <selection activeCell="F61" sqref="F61"/>
    </sheetView>
  </sheetViews>
  <sheetFormatPr defaultRowHeight="12.75" x14ac:dyDescent="0.2"/>
  <cols>
    <col min="1" max="1" width="1.42578125" style="33" customWidth="1"/>
    <col min="2" max="2" width="2.28515625" style="33" customWidth="1"/>
    <col min="3" max="3" width="12.28515625" style="33" customWidth="1"/>
    <col min="4" max="4" width="3.85546875" style="33" customWidth="1"/>
    <col min="5" max="5" width="70.42578125" style="34" customWidth="1"/>
    <col min="6" max="8" width="29.28515625" style="35" customWidth="1"/>
    <col min="9" max="9" width="9.140625" style="33"/>
    <col min="10" max="10" width="19.7109375" style="33" customWidth="1"/>
    <col min="11" max="11" width="13.28515625" style="33" customWidth="1"/>
    <col min="12" max="16384" width="9.140625" style="33"/>
  </cols>
  <sheetData>
    <row r="1" spans="1:10" ht="15" x14ac:dyDescent="0.2">
      <c r="H1" s="70" t="s">
        <v>244</v>
      </c>
    </row>
    <row r="2" spans="1:10" s="4" customFormat="1" ht="30" customHeight="1" x14ac:dyDescent="0.2">
      <c r="C2" s="238" t="s">
        <v>215</v>
      </c>
      <c r="D2" s="238"/>
      <c r="E2" s="238"/>
      <c r="F2" s="238"/>
      <c r="G2" s="238"/>
      <c r="H2" s="238"/>
    </row>
    <row r="3" spans="1:10" s="4" customFormat="1" ht="54.75" customHeight="1" x14ac:dyDescent="0.2">
      <c r="A3" s="5"/>
      <c r="B3" s="5"/>
      <c r="C3" s="6" t="s">
        <v>216</v>
      </c>
      <c r="D3" s="6"/>
      <c r="E3" s="7" t="s">
        <v>93</v>
      </c>
      <c r="F3" s="8" t="s">
        <v>94</v>
      </c>
      <c r="G3" s="8" t="s">
        <v>95</v>
      </c>
      <c r="H3" s="8" t="s">
        <v>239</v>
      </c>
      <c r="J3" s="4" t="s">
        <v>245</v>
      </c>
    </row>
    <row r="4" spans="1:10" s="4" customFormat="1" ht="25.5" customHeight="1" x14ac:dyDescent="0.2">
      <c r="A4" s="5"/>
      <c r="B4" s="5"/>
      <c r="C4" s="6"/>
      <c r="D4" s="6"/>
      <c r="E4" s="7"/>
      <c r="F4" s="9" t="s">
        <v>8</v>
      </c>
      <c r="G4" s="9" t="s">
        <v>8</v>
      </c>
      <c r="H4" s="56" t="s">
        <v>8</v>
      </c>
    </row>
    <row r="5" spans="1:10" s="4" customFormat="1" x14ac:dyDescent="0.2">
      <c r="E5" s="10"/>
      <c r="F5" s="11"/>
      <c r="G5" s="11"/>
      <c r="H5" s="57"/>
    </row>
    <row r="6" spans="1:10" s="4" customFormat="1" x14ac:dyDescent="0.2">
      <c r="A6" s="12"/>
      <c r="B6" s="12"/>
      <c r="C6" s="243" t="s">
        <v>92</v>
      </c>
      <c r="D6" s="243"/>
      <c r="E6" s="64" t="s">
        <v>96</v>
      </c>
      <c r="F6" s="89">
        <f>591.92+131.5+130166.88+2874</f>
        <v>133764.29999999999</v>
      </c>
      <c r="G6" s="89">
        <v>0</v>
      </c>
      <c r="H6" s="90">
        <v>0</v>
      </c>
    </row>
    <row r="7" spans="1:10" s="4" customFormat="1" x14ac:dyDescent="0.2">
      <c r="C7" s="244"/>
      <c r="D7" s="244"/>
      <c r="E7" s="13" t="s">
        <v>97</v>
      </c>
      <c r="F7" s="91">
        <f>183000+87388.6</f>
        <v>270388.59999999998</v>
      </c>
      <c r="G7" s="91">
        <v>0</v>
      </c>
      <c r="H7" s="92">
        <v>0</v>
      </c>
    </row>
    <row r="8" spans="1:10" s="4" customFormat="1" ht="22.5" customHeight="1" x14ac:dyDescent="0.2">
      <c r="C8" s="245"/>
      <c r="D8" s="245"/>
      <c r="E8" s="65" t="s">
        <v>217</v>
      </c>
      <c r="F8" s="66">
        <f>4787285.48+3448839.98</f>
        <v>8236125.4600000009</v>
      </c>
      <c r="G8" s="67"/>
      <c r="H8" s="68"/>
    </row>
    <row r="9" spans="1:10" s="4" customFormat="1" x14ac:dyDescent="0.2">
      <c r="E9" s="10"/>
      <c r="F9" s="11"/>
      <c r="G9" s="59"/>
      <c r="H9" s="57"/>
    </row>
    <row r="10" spans="1:10" s="4" customFormat="1" x14ac:dyDescent="0.2">
      <c r="A10" s="240"/>
      <c r="B10" s="240"/>
      <c r="C10" s="14"/>
      <c r="D10" s="14"/>
      <c r="E10" s="15" t="s">
        <v>98</v>
      </c>
      <c r="F10" s="82"/>
      <c r="G10" s="60"/>
      <c r="H10" s="60"/>
    </row>
    <row r="11" spans="1:10" s="4" customFormat="1" x14ac:dyDescent="0.2">
      <c r="A11" s="240"/>
      <c r="B11" s="240"/>
      <c r="C11" s="16"/>
      <c r="D11" s="16"/>
      <c r="E11" s="17"/>
      <c r="F11" s="83"/>
      <c r="G11" s="61"/>
      <c r="H11" s="61"/>
    </row>
    <row r="12" spans="1:10" s="4" customFormat="1" x14ac:dyDescent="0.2">
      <c r="A12" s="240"/>
      <c r="B12" s="240"/>
      <c r="C12" s="18" t="s">
        <v>99</v>
      </c>
      <c r="D12" s="18"/>
      <c r="E12" s="19" t="s">
        <v>100</v>
      </c>
      <c r="F12" s="93">
        <f>F13+F14+F15</f>
        <v>22617510.07</v>
      </c>
      <c r="G12" s="93">
        <f>G13+G14+G15</f>
        <v>22367626.07</v>
      </c>
      <c r="H12" s="93">
        <f>H13+H14+H15</f>
        <v>22510076.07</v>
      </c>
    </row>
    <row r="13" spans="1:10" s="4" customFormat="1" x14ac:dyDescent="0.2">
      <c r="A13" s="242" t="s">
        <v>101</v>
      </c>
      <c r="B13" s="242"/>
      <c r="C13" s="20" t="s">
        <v>102</v>
      </c>
      <c r="D13" s="20"/>
      <c r="E13" s="21" t="s">
        <v>103</v>
      </c>
      <c r="F13" s="94">
        <v>172676.07</v>
      </c>
      <c r="G13" s="95">
        <v>172676.07</v>
      </c>
      <c r="H13" s="91">
        <v>172676.07</v>
      </c>
    </row>
    <row r="14" spans="1:10" s="4" customFormat="1" x14ac:dyDescent="0.2">
      <c r="A14" s="241"/>
      <c r="B14" s="241"/>
      <c r="C14" s="20" t="s">
        <v>104</v>
      </c>
      <c r="D14" s="20"/>
      <c r="E14" s="21" t="s">
        <v>105</v>
      </c>
      <c r="F14" s="96">
        <f>15000+10000</f>
        <v>25000</v>
      </c>
      <c r="G14" s="91">
        <v>15000</v>
      </c>
      <c r="H14" s="91">
        <v>15000</v>
      </c>
    </row>
    <row r="15" spans="1:10" s="4" customFormat="1" x14ac:dyDescent="0.2">
      <c r="A15" s="241"/>
      <c r="B15" s="241"/>
      <c r="C15" s="20" t="s">
        <v>106</v>
      </c>
      <c r="D15" s="20"/>
      <c r="E15" s="21" t="s">
        <v>107</v>
      </c>
      <c r="F15" s="94">
        <f>22414544+5290</f>
        <v>22419834</v>
      </c>
      <c r="G15" s="95">
        <v>22179950</v>
      </c>
      <c r="H15" s="95">
        <v>22322400</v>
      </c>
    </row>
    <row r="16" spans="1:10" s="4" customFormat="1" x14ac:dyDescent="0.2">
      <c r="A16" s="239"/>
      <c r="B16" s="239"/>
      <c r="C16" s="22"/>
      <c r="D16" s="22"/>
      <c r="E16" s="23"/>
      <c r="F16" s="97"/>
      <c r="G16" s="98"/>
      <c r="H16" s="98"/>
    </row>
    <row r="17" spans="1:8" s="4" customFormat="1" x14ac:dyDescent="0.2">
      <c r="A17" s="240"/>
      <c r="B17" s="240"/>
      <c r="C17" s="18" t="s">
        <v>108</v>
      </c>
      <c r="D17" s="18"/>
      <c r="E17" s="19" t="s">
        <v>109</v>
      </c>
      <c r="F17" s="99">
        <v>0</v>
      </c>
      <c r="G17" s="100">
        <v>0</v>
      </c>
      <c r="H17" s="100">
        <v>0</v>
      </c>
    </row>
    <row r="18" spans="1:8" s="4" customFormat="1" x14ac:dyDescent="0.2">
      <c r="A18" s="241"/>
      <c r="B18" s="241"/>
      <c r="C18" s="20" t="s">
        <v>110</v>
      </c>
      <c r="D18" s="20"/>
      <c r="E18" s="21" t="s">
        <v>111</v>
      </c>
      <c r="F18" s="96">
        <v>0</v>
      </c>
      <c r="G18" s="91">
        <v>0</v>
      </c>
      <c r="H18" s="91">
        <v>0</v>
      </c>
    </row>
    <row r="19" spans="1:8" s="4" customFormat="1" x14ac:dyDescent="0.2">
      <c r="A19" s="239"/>
      <c r="B19" s="239"/>
      <c r="C19" s="22"/>
      <c r="D19" s="22"/>
      <c r="E19" s="23"/>
      <c r="F19" s="97"/>
      <c r="G19" s="98"/>
      <c r="H19" s="98"/>
    </row>
    <row r="20" spans="1:8" s="4" customFormat="1" x14ac:dyDescent="0.2">
      <c r="A20" s="241"/>
      <c r="B20" s="241"/>
      <c r="C20" s="24" t="s">
        <v>101</v>
      </c>
      <c r="D20" s="24"/>
      <c r="E20" s="25" t="s">
        <v>112</v>
      </c>
      <c r="F20" s="101">
        <f>F17+F12</f>
        <v>22617510.07</v>
      </c>
      <c r="G20" s="102">
        <f>G17+G12</f>
        <v>22367626.07</v>
      </c>
      <c r="H20" s="102">
        <f>H17+H12</f>
        <v>22510076.07</v>
      </c>
    </row>
    <row r="21" spans="1:8" s="4" customFormat="1" x14ac:dyDescent="0.2">
      <c r="A21" s="241"/>
      <c r="B21" s="241"/>
      <c r="E21" s="26"/>
      <c r="F21" s="27"/>
      <c r="G21" s="62"/>
      <c r="H21" s="57"/>
    </row>
    <row r="22" spans="1:8" s="4" customFormat="1" x14ac:dyDescent="0.2">
      <c r="A22" s="240"/>
      <c r="B22" s="240"/>
      <c r="C22" s="14"/>
      <c r="D22" s="14"/>
      <c r="E22" s="15" t="s">
        <v>113</v>
      </c>
      <c r="F22" s="82"/>
      <c r="G22" s="60"/>
      <c r="H22" s="60"/>
    </row>
    <row r="23" spans="1:8" s="4" customFormat="1" x14ac:dyDescent="0.2">
      <c r="A23" s="240"/>
      <c r="B23" s="240"/>
      <c r="C23" s="16"/>
      <c r="D23" s="16"/>
      <c r="E23" s="17"/>
      <c r="F23" s="83"/>
      <c r="G23" s="61"/>
      <c r="H23" s="61"/>
    </row>
    <row r="24" spans="1:8" s="4" customFormat="1" ht="25.5" x14ac:dyDescent="0.2">
      <c r="A24" s="240"/>
      <c r="B24" s="240"/>
      <c r="C24" s="18" t="s">
        <v>114</v>
      </c>
      <c r="D24" s="18"/>
      <c r="E24" s="19" t="s">
        <v>115</v>
      </c>
      <c r="F24" s="99">
        <f>F25+F26</f>
        <v>1000</v>
      </c>
      <c r="G24" s="100">
        <f>G25+G26</f>
        <v>1000</v>
      </c>
      <c r="H24" s="100">
        <f>H25+H26</f>
        <v>1000</v>
      </c>
    </row>
    <row r="25" spans="1:8" s="4" customFormat="1" x14ac:dyDescent="0.2">
      <c r="A25" s="242" t="s">
        <v>116</v>
      </c>
      <c r="B25" s="242"/>
      <c r="C25" s="20" t="s">
        <v>117</v>
      </c>
      <c r="D25" s="20"/>
      <c r="E25" s="21" t="s">
        <v>118</v>
      </c>
      <c r="F25" s="96">
        <v>1000</v>
      </c>
      <c r="G25" s="91">
        <v>1000</v>
      </c>
      <c r="H25" s="91">
        <v>1000</v>
      </c>
    </row>
    <row r="26" spans="1:8" s="4" customFormat="1" x14ac:dyDescent="0.2">
      <c r="A26" s="241"/>
      <c r="B26" s="241"/>
      <c r="C26" s="20" t="s">
        <v>119</v>
      </c>
      <c r="D26" s="20"/>
      <c r="E26" s="21" t="s">
        <v>120</v>
      </c>
      <c r="F26" s="96">
        <v>0</v>
      </c>
      <c r="G26" s="91">
        <v>0</v>
      </c>
      <c r="H26" s="91">
        <v>0</v>
      </c>
    </row>
    <row r="27" spans="1:8" s="4" customFormat="1" x14ac:dyDescent="0.2">
      <c r="A27" s="239"/>
      <c r="B27" s="239"/>
      <c r="C27" s="22"/>
      <c r="D27" s="22"/>
      <c r="E27" s="23"/>
      <c r="F27" s="97"/>
      <c r="G27" s="98"/>
      <c r="H27" s="98"/>
    </row>
    <row r="28" spans="1:8" s="4" customFormat="1" ht="25.5" x14ac:dyDescent="0.2">
      <c r="A28" s="240"/>
      <c r="B28" s="240"/>
      <c r="C28" s="18" t="s">
        <v>121</v>
      </c>
      <c r="D28" s="18"/>
      <c r="E28" s="19" t="s">
        <v>122</v>
      </c>
      <c r="F28" s="99">
        <f>F29</f>
        <v>100</v>
      </c>
      <c r="G28" s="99">
        <f>G29</f>
        <v>100</v>
      </c>
      <c r="H28" s="99">
        <f>H29</f>
        <v>100</v>
      </c>
    </row>
    <row r="29" spans="1:8" s="4" customFormat="1" ht="25.5" x14ac:dyDescent="0.2">
      <c r="A29" s="241"/>
      <c r="B29" s="241"/>
      <c r="C29" s="20" t="s">
        <v>123</v>
      </c>
      <c r="D29" s="20"/>
      <c r="E29" s="21" t="s">
        <v>124</v>
      </c>
      <c r="F29" s="96">
        <v>100</v>
      </c>
      <c r="G29" s="91">
        <v>100</v>
      </c>
      <c r="H29" s="91">
        <v>100</v>
      </c>
    </row>
    <row r="30" spans="1:8" s="4" customFormat="1" x14ac:dyDescent="0.2">
      <c r="A30" s="239"/>
      <c r="B30" s="239"/>
      <c r="C30" s="22"/>
      <c r="D30" s="22"/>
      <c r="E30" s="23"/>
      <c r="F30" s="97"/>
      <c r="G30" s="98"/>
      <c r="H30" s="98"/>
    </row>
    <row r="31" spans="1:8" s="4" customFormat="1" x14ac:dyDescent="0.2">
      <c r="A31" s="240"/>
      <c r="B31" s="240"/>
      <c r="C31" s="18" t="s">
        <v>125</v>
      </c>
      <c r="D31" s="18"/>
      <c r="E31" s="19" t="s">
        <v>126</v>
      </c>
      <c r="F31" s="99">
        <f>F32</f>
        <v>20</v>
      </c>
      <c r="G31" s="99">
        <f>G32</f>
        <v>20</v>
      </c>
      <c r="H31" s="99">
        <f>H32</f>
        <v>20</v>
      </c>
    </row>
    <row r="32" spans="1:8" s="4" customFormat="1" x14ac:dyDescent="0.2">
      <c r="A32" s="241"/>
      <c r="B32" s="241"/>
      <c r="C32" s="20" t="s">
        <v>127</v>
      </c>
      <c r="D32" s="20"/>
      <c r="E32" s="21" t="s">
        <v>128</v>
      </c>
      <c r="F32" s="96">
        <v>20</v>
      </c>
      <c r="G32" s="91">
        <v>20</v>
      </c>
      <c r="H32" s="91">
        <v>20</v>
      </c>
    </row>
    <row r="33" spans="1:11" s="4" customFormat="1" x14ac:dyDescent="0.2">
      <c r="A33" s="239"/>
      <c r="B33" s="239"/>
      <c r="C33" s="22"/>
      <c r="D33" s="22"/>
      <c r="E33" s="23"/>
      <c r="F33" s="97"/>
      <c r="G33" s="98"/>
      <c r="H33" s="98"/>
    </row>
    <row r="34" spans="1:11" s="4" customFormat="1" x14ac:dyDescent="0.2">
      <c r="A34" s="240"/>
      <c r="B34" s="240"/>
      <c r="C34" s="18" t="s">
        <v>129</v>
      </c>
      <c r="D34" s="18"/>
      <c r="E34" s="19" t="s">
        <v>130</v>
      </c>
      <c r="F34" s="93">
        <f>F35+F36</f>
        <v>236358.21000000002</v>
      </c>
      <c r="G34" s="93">
        <f>G35+G36</f>
        <v>216147.93</v>
      </c>
      <c r="H34" s="93">
        <f>H35+H36</f>
        <v>216197.93</v>
      </c>
    </row>
    <row r="35" spans="1:11" s="4" customFormat="1" x14ac:dyDescent="0.2">
      <c r="A35" s="241"/>
      <c r="B35" s="241"/>
      <c r="C35" s="20" t="s">
        <v>131</v>
      </c>
      <c r="D35" s="20"/>
      <c r="E35" s="21" t="s">
        <v>132</v>
      </c>
      <c r="F35" s="94">
        <f>194899.71+18972.36</f>
        <v>213872.07</v>
      </c>
      <c r="G35" s="95">
        <v>194851.47</v>
      </c>
      <c r="H35" s="95">
        <v>194894.58</v>
      </c>
      <c r="J35" s="4" t="s">
        <v>92</v>
      </c>
      <c r="K35" s="71" t="s">
        <v>92</v>
      </c>
    </row>
    <row r="36" spans="1:11" s="4" customFormat="1" x14ac:dyDescent="0.2">
      <c r="A36" s="241"/>
      <c r="B36" s="241"/>
      <c r="C36" s="20" t="s">
        <v>133</v>
      </c>
      <c r="D36" s="20"/>
      <c r="E36" s="21" t="s">
        <v>134</v>
      </c>
      <c r="F36" s="94">
        <f>36430.8-13944.66</f>
        <v>22486.140000000003</v>
      </c>
      <c r="G36" s="95">
        <v>21296.46</v>
      </c>
      <c r="H36" s="95">
        <v>21303.35</v>
      </c>
    </row>
    <row r="37" spans="1:11" s="4" customFormat="1" x14ac:dyDescent="0.2">
      <c r="A37" s="239"/>
      <c r="B37" s="239"/>
      <c r="C37" s="22"/>
      <c r="D37" s="22"/>
      <c r="E37" s="23"/>
      <c r="F37" s="97"/>
      <c r="G37" s="98"/>
      <c r="H37" s="98"/>
    </row>
    <row r="38" spans="1:11" s="4" customFormat="1" x14ac:dyDescent="0.2">
      <c r="A38" s="241"/>
      <c r="B38" s="241"/>
      <c r="C38" s="24" t="s">
        <v>116</v>
      </c>
      <c r="D38" s="24"/>
      <c r="E38" s="25" t="s">
        <v>135</v>
      </c>
      <c r="F38" s="101">
        <f>F34+F31+F28+F24</f>
        <v>237478.21000000002</v>
      </c>
      <c r="G38" s="102">
        <f>G34+G31+G28+G24</f>
        <v>217267.93</v>
      </c>
      <c r="H38" s="102">
        <f>H34+H31+H28+H24</f>
        <v>217317.93</v>
      </c>
    </row>
    <row r="39" spans="1:11" s="4" customFormat="1" x14ac:dyDescent="0.2">
      <c r="A39" s="241"/>
      <c r="B39" s="241"/>
      <c r="E39" s="26"/>
      <c r="F39" s="27"/>
      <c r="G39" s="62"/>
      <c r="H39" s="57"/>
    </row>
    <row r="40" spans="1:11" s="4" customFormat="1" x14ac:dyDescent="0.2">
      <c r="A40" s="240"/>
      <c r="B40" s="240"/>
      <c r="C40" s="14"/>
      <c r="D40" s="14"/>
      <c r="E40" s="15" t="s">
        <v>136</v>
      </c>
      <c r="F40" s="82"/>
      <c r="G40" s="60"/>
      <c r="H40" s="60"/>
    </row>
    <row r="41" spans="1:11" s="4" customFormat="1" x14ac:dyDescent="0.2">
      <c r="A41" s="240"/>
      <c r="B41" s="240"/>
      <c r="C41" s="16"/>
      <c r="D41" s="16"/>
      <c r="E41" s="17"/>
      <c r="F41" s="83"/>
      <c r="G41" s="61"/>
      <c r="H41" s="61"/>
    </row>
    <row r="42" spans="1:11" s="4" customFormat="1" x14ac:dyDescent="0.2">
      <c r="A42" s="240"/>
      <c r="B42" s="240"/>
      <c r="C42" s="18" t="s">
        <v>137</v>
      </c>
      <c r="D42" s="18"/>
      <c r="E42" s="19" t="s">
        <v>138</v>
      </c>
      <c r="F42" s="93">
        <f>F43</f>
        <v>716956</v>
      </c>
      <c r="G42" s="93">
        <f>G43</f>
        <v>586156</v>
      </c>
      <c r="H42" s="93">
        <f>H43</f>
        <v>586156</v>
      </c>
    </row>
    <row r="43" spans="1:11" s="4" customFormat="1" x14ac:dyDescent="0.2">
      <c r="A43" s="242" t="s">
        <v>139</v>
      </c>
      <c r="B43" s="242"/>
      <c r="C43" s="20" t="s">
        <v>140</v>
      </c>
      <c r="D43" s="20"/>
      <c r="E43" s="21" t="s">
        <v>141</v>
      </c>
      <c r="F43" s="94">
        <f>716456+500</f>
        <v>716956</v>
      </c>
      <c r="G43" s="95">
        <v>586156</v>
      </c>
      <c r="H43" s="95">
        <v>586156</v>
      </c>
    </row>
    <row r="44" spans="1:11" s="4" customFormat="1" x14ac:dyDescent="0.2">
      <c r="A44" s="239"/>
      <c r="B44" s="239"/>
      <c r="C44" s="22"/>
      <c r="D44" s="22"/>
      <c r="E44" s="23"/>
      <c r="F44" s="97"/>
      <c r="G44" s="98"/>
      <c r="H44" s="98"/>
    </row>
    <row r="45" spans="1:11" s="4" customFormat="1" x14ac:dyDescent="0.2">
      <c r="A45" s="240"/>
      <c r="B45" s="240"/>
      <c r="C45" s="18" t="s">
        <v>142</v>
      </c>
      <c r="D45" s="18"/>
      <c r="E45" s="19" t="s">
        <v>143</v>
      </c>
      <c r="F45" s="99">
        <f>F46</f>
        <v>0</v>
      </c>
      <c r="G45" s="99">
        <f>G46</f>
        <v>0</v>
      </c>
      <c r="H45" s="99">
        <f>H46</f>
        <v>0</v>
      </c>
    </row>
    <row r="46" spans="1:11" s="4" customFormat="1" x14ac:dyDescent="0.2">
      <c r="A46" s="241"/>
      <c r="B46" s="241"/>
      <c r="C46" s="20" t="s">
        <v>144</v>
      </c>
      <c r="D46" s="20"/>
      <c r="E46" s="21" t="s">
        <v>145</v>
      </c>
      <c r="F46" s="96">
        <v>0</v>
      </c>
      <c r="G46" s="91">
        <v>0</v>
      </c>
      <c r="H46" s="91">
        <v>0</v>
      </c>
    </row>
    <row r="47" spans="1:11" s="4" customFormat="1" x14ac:dyDescent="0.2">
      <c r="A47" s="239"/>
      <c r="B47" s="239"/>
      <c r="C47" s="22"/>
      <c r="D47" s="22"/>
      <c r="E47" s="23"/>
      <c r="F47" s="97"/>
      <c r="G47" s="98"/>
      <c r="H47" s="98"/>
    </row>
    <row r="48" spans="1:11" s="4" customFormat="1" x14ac:dyDescent="0.2">
      <c r="A48" s="240"/>
      <c r="B48" s="240"/>
      <c r="C48" s="18" t="s">
        <v>146</v>
      </c>
      <c r="D48" s="18"/>
      <c r="E48" s="19" t="s">
        <v>147</v>
      </c>
      <c r="F48" s="99">
        <f>F49+F50</f>
        <v>0</v>
      </c>
      <c r="G48" s="99">
        <f>G49+G50</f>
        <v>0</v>
      </c>
      <c r="H48" s="99">
        <f>H49+H50</f>
        <v>0</v>
      </c>
    </row>
    <row r="49" spans="1:8" s="4" customFormat="1" ht="25.5" x14ac:dyDescent="0.2">
      <c r="A49" s="241"/>
      <c r="B49" s="241"/>
      <c r="C49" s="20" t="s">
        <v>148</v>
      </c>
      <c r="D49" s="20"/>
      <c r="E49" s="21" t="s">
        <v>149</v>
      </c>
      <c r="F49" s="96">
        <v>0</v>
      </c>
      <c r="G49" s="91">
        <v>0</v>
      </c>
      <c r="H49" s="91">
        <v>0</v>
      </c>
    </row>
    <row r="50" spans="1:8" s="4" customFormat="1" x14ac:dyDescent="0.2">
      <c r="A50" s="241"/>
      <c r="B50" s="241"/>
      <c r="C50" s="20" t="s">
        <v>150</v>
      </c>
      <c r="D50" s="20"/>
      <c r="E50" s="21" t="s">
        <v>151</v>
      </c>
      <c r="F50" s="96">
        <f>60000-60000</f>
        <v>0</v>
      </c>
      <c r="G50" s="91">
        <v>0</v>
      </c>
      <c r="H50" s="91">
        <v>0</v>
      </c>
    </row>
    <row r="51" spans="1:8" s="4" customFormat="1" x14ac:dyDescent="0.2">
      <c r="A51" s="239"/>
      <c r="B51" s="239"/>
      <c r="C51" s="22"/>
      <c r="D51" s="22"/>
      <c r="E51" s="23"/>
      <c r="F51" s="97"/>
      <c r="G51" s="98"/>
      <c r="H51" s="98"/>
    </row>
    <row r="52" spans="1:8" s="4" customFormat="1" x14ac:dyDescent="0.2">
      <c r="A52" s="241"/>
      <c r="B52" s="241"/>
      <c r="C52" s="24" t="s">
        <v>139</v>
      </c>
      <c r="D52" s="24"/>
      <c r="E52" s="25" t="s">
        <v>152</v>
      </c>
      <c r="F52" s="101">
        <f>F48+F45+F42</f>
        <v>716956</v>
      </c>
      <c r="G52" s="102">
        <f>G48+G45+G42</f>
        <v>586156</v>
      </c>
      <c r="H52" s="102">
        <f>H48+H45+H42</f>
        <v>586156</v>
      </c>
    </row>
    <row r="53" spans="1:8" s="4" customFormat="1" x14ac:dyDescent="0.2">
      <c r="A53" s="240"/>
      <c r="B53" s="240"/>
      <c r="C53" s="14"/>
      <c r="D53" s="14"/>
      <c r="E53" s="15" t="s">
        <v>153</v>
      </c>
      <c r="F53" s="82"/>
      <c r="G53" s="60"/>
      <c r="H53" s="60"/>
    </row>
    <row r="54" spans="1:8" s="4" customFormat="1" x14ac:dyDescent="0.2">
      <c r="A54" s="88"/>
      <c r="B54" s="88"/>
      <c r="C54" s="16"/>
      <c r="D54" s="16"/>
      <c r="E54" s="236"/>
      <c r="F54" s="83"/>
      <c r="G54" s="61"/>
      <c r="H54" s="61"/>
    </row>
    <row r="55" spans="1:8" s="4" customFormat="1" x14ac:dyDescent="0.2">
      <c r="A55" s="240"/>
      <c r="B55" s="240"/>
      <c r="C55" s="16"/>
      <c r="D55" s="16"/>
      <c r="E55" s="17"/>
      <c r="F55" s="83"/>
      <c r="G55" s="61"/>
      <c r="H55" s="61"/>
    </row>
    <row r="56" spans="1:8" s="4" customFormat="1" x14ac:dyDescent="0.2">
      <c r="A56" s="240"/>
      <c r="B56" s="240"/>
      <c r="C56" s="18" t="s">
        <v>154</v>
      </c>
      <c r="D56" s="18"/>
      <c r="E56" s="19" t="s">
        <v>155</v>
      </c>
      <c r="F56" s="93">
        <f>F57+F58+F59+F60</f>
        <v>5314950</v>
      </c>
      <c r="G56" s="93">
        <f>G57+G58+G59+G60</f>
        <v>5315950</v>
      </c>
      <c r="H56" s="93">
        <f>H57+H58+H59+H60</f>
        <v>5315950</v>
      </c>
    </row>
    <row r="57" spans="1:8" s="4" customFormat="1" x14ac:dyDescent="0.2">
      <c r="A57" s="242" t="s">
        <v>156</v>
      </c>
      <c r="B57" s="242"/>
      <c r="C57" s="20" t="s">
        <v>157</v>
      </c>
      <c r="D57" s="20"/>
      <c r="E57" s="21" t="s">
        <v>158</v>
      </c>
      <c r="F57" s="94">
        <v>2002450</v>
      </c>
      <c r="G57" s="95">
        <v>2002450</v>
      </c>
      <c r="H57" s="95">
        <v>2002450</v>
      </c>
    </row>
    <row r="58" spans="1:8" s="4" customFormat="1" x14ac:dyDescent="0.2">
      <c r="A58" s="241"/>
      <c r="B58" s="241"/>
      <c r="C58" s="20" t="s">
        <v>159</v>
      </c>
      <c r="D58" s="20"/>
      <c r="E58" s="21" t="s">
        <v>160</v>
      </c>
      <c r="F58" s="94">
        <v>3206000</v>
      </c>
      <c r="G58" s="95">
        <v>3206000</v>
      </c>
      <c r="H58" s="95">
        <v>3206000</v>
      </c>
    </row>
    <row r="59" spans="1:8" s="4" customFormat="1" x14ac:dyDescent="0.2">
      <c r="A59" s="241"/>
      <c r="B59" s="241"/>
      <c r="C59" s="20" t="s">
        <v>161</v>
      </c>
      <c r="D59" s="20"/>
      <c r="E59" s="21" t="s">
        <v>162</v>
      </c>
      <c r="F59" s="96">
        <v>31500</v>
      </c>
      <c r="G59" s="91">
        <v>31500</v>
      </c>
      <c r="H59" s="91">
        <v>31500</v>
      </c>
    </row>
    <row r="60" spans="1:8" s="4" customFormat="1" x14ac:dyDescent="0.2">
      <c r="A60" s="241"/>
      <c r="B60" s="241"/>
      <c r="C60" s="20" t="s">
        <v>163</v>
      </c>
      <c r="D60" s="20"/>
      <c r="E60" s="21" t="s">
        <v>164</v>
      </c>
      <c r="F60" s="96">
        <f>76000-1000</f>
        <v>75000</v>
      </c>
      <c r="G60" s="91">
        <v>76000</v>
      </c>
      <c r="H60" s="91">
        <v>76000</v>
      </c>
    </row>
    <row r="61" spans="1:8" s="4" customFormat="1" x14ac:dyDescent="0.2">
      <c r="A61" s="239"/>
      <c r="B61" s="239"/>
      <c r="C61" s="22"/>
      <c r="D61" s="22"/>
      <c r="E61" s="23"/>
      <c r="F61" s="97"/>
      <c r="G61" s="98"/>
      <c r="H61" s="98"/>
    </row>
    <row r="62" spans="1:8" s="4" customFormat="1" x14ac:dyDescent="0.2">
      <c r="A62" s="240"/>
      <c r="B62" s="240"/>
      <c r="C62" s="18" t="s">
        <v>165</v>
      </c>
      <c r="D62" s="18"/>
      <c r="E62" s="19" t="s">
        <v>166</v>
      </c>
      <c r="F62" s="99">
        <f>F63</f>
        <v>6000</v>
      </c>
      <c r="G62" s="99">
        <f>G63</f>
        <v>2000</v>
      </c>
      <c r="H62" s="99">
        <f>H63</f>
        <v>2000</v>
      </c>
    </row>
    <row r="63" spans="1:8" s="4" customFormat="1" x14ac:dyDescent="0.2">
      <c r="A63" s="241"/>
      <c r="B63" s="241"/>
      <c r="C63" s="20" t="s">
        <v>167</v>
      </c>
      <c r="D63" s="20"/>
      <c r="E63" s="21" t="s">
        <v>168</v>
      </c>
      <c r="F63" s="96">
        <v>6000</v>
      </c>
      <c r="G63" s="91">
        <v>2000</v>
      </c>
      <c r="H63" s="91">
        <v>2000</v>
      </c>
    </row>
    <row r="64" spans="1:8" s="4" customFormat="1" x14ac:dyDescent="0.2">
      <c r="A64" s="239"/>
      <c r="B64" s="239"/>
      <c r="C64" s="22"/>
      <c r="D64" s="22"/>
      <c r="E64" s="23"/>
      <c r="F64" s="97"/>
      <c r="G64" s="98"/>
      <c r="H64" s="98"/>
    </row>
    <row r="65" spans="1:9" s="4" customFormat="1" x14ac:dyDescent="0.2">
      <c r="A65" s="241"/>
      <c r="B65" s="241"/>
      <c r="C65" s="24" t="s">
        <v>156</v>
      </c>
      <c r="D65" s="24"/>
      <c r="E65" s="25" t="s">
        <v>169</v>
      </c>
      <c r="F65" s="101">
        <f>F62+F56</f>
        <v>5320950</v>
      </c>
      <c r="G65" s="102">
        <f>G62+G56</f>
        <v>5317950</v>
      </c>
      <c r="H65" s="102">
        <f>H62+H56</f>
        <v>5317950</v>
      </c>
    </row>
    <row r="66" spans="1:9" s="4" customFormat="1" x14ac:dyDescent="0.2">
      <c r="A66" s="241"/>
      <c r="B66" s="241"/>
      <c r="E66" s="26"/>
      <c r="F66" s="27"/>
      <c r="G66" s="62"/>
      <c r="H66" s="57"/>
    </row>
    <row r="67" spans="1:9" s="4" customFormat="1" x14ac:dyDescent="0.2">
      <c r="A67" s="239"/>
      <c r="B67" s="239"/>
      <c r="C67" s="28"/>
      <c r="D67" s="28"/>
      <c r="E67" s="29" t="s">
        <v>170</v>
      </c>
      <c r="F67" s="103">
        <f>F65+F52+F38+F20</f>
        <v>28892894.280000001</v>
      </c>
      <c r="G67" s="104">
        <f>G65+G52+G38+G20</f>
        <v>28489000</v>
      </c>
      <c r="H67" s="105">
        <f>H65+H52+H38+H20</f>
        <v>28631500</v>
      </c>
    </row>
    <row r="68" spans="1:9" s="4" customFormat="1" x14ac:dyDescent="0.2">
      <c r="A68" s="239"/>
      <c r="B68" s="239"/>
      <c r="C68" s="30"/>
      <c r="D68" s="30"/>
      <c r="E68" s="31"/>
      <c r="F68" s="32"/>
      <c r="G68" s="63"/>
      <c r="H68" s="58"/>
    </row>
    <row r="69" spans="1:9" s="4" customFormat="1" x14ac:dyDescent="0.2">
      <c r="A69" s="239"/>
      <c r="B69" s="239"/>
      <c r="C69" s="28"/>
      <c r="D69" s="28"/>
      <c r="E69" s="29" t="s">
        <v>171</v>
      </c>
      <c r="F69" s="106">
        <f>F67+F8+F7+F6</f>
        <v>37533172.640000001</v>
      </c>
      <c r="G69" s="107">
        <f>G67+G8+G7+G6</f>
        <v>28489000</v>
      </c>
      <c r="H69" s="108">
        <f>H67+H8+H7+H6</f>
        <v>28631500</v>
      </c>
    </row>
    <row r="71" spans="1:9" x14ac:dyDescent="0.2">
      <c r="F71" s="109"/>
      <c r="G71" s="109"/>
      <c r="H71" s="109"/>
    </row>
    <row r="73" spans="1:9" x14ac:dyDescent="0.2">
      <c r="E73" s="34" t="s">
        <v>92</v>
      </c>
    </row>
    <row r="74" spans="1:9" x14ac:dyDescent="0.2">
      <c r="F74" s="109"/>
      <c r="G74" s="109"/>
      <c r="H74" s="109"/>
      <c r="I74" s="34"/>
    </row>
    <row r="75" spans="1:9" x14ac:dyDescent="0.2">
      <c r="F75" s="109"/>
      <c r="G75" s="109"/>
      <c r="H75" s="109"/>
      <c r="I75" s="34"/>
    </row>
    <row r="76" spans="1:9" x14ac:dyDescent="0.2">
      <c r="F76" s="109"/>
      <c r="G76" s="109"/>
      <c r="H76" s="109"/>
      <c r="I76" s="34"/>
    </row>
    <row r="77" spans="1:9" x14ac:dyDescent="0.2">
      <c r="F77" s="109"/>
      <c r="G77" s="109"/>
      <c r="H77" s="109"/>
      <c r="I77" s="34"/>
    </row>
    <row r="78" spans="1:9" x14ac:dyDescent="0.2">
      <c r="F78" s="109"/>
      <c r="G78" s="109"/>
      <c r="H78" s="109"/>
      <c r="I78" s="34"/>
    </row>
    <row r="79" spans="1:9" x14ac:dyDescent="0.2">
      <c r="F79" s="109"/>
      <c r="G79" s="109"/>
      <c r="H79" s="109"/>
      <c r="I79" s="34"/>
    </row>
    <row r="80" spans="1:9" x14ac:dyDescent="0.2">
      <c r="F80" s="109"/>
      <c r="G80" s="109"/>
      <c r="H80" s="109"/>
      <c r="I80" s="34"/>
    </row>
    <row r="81" spans="6:9" x14ac:dyDescent="0.2">
      <c r="F81" s="109"/>
      <c r="G81" s="109"/>
      <c r="H81" s="109"/>
      <c r="I81" s="34"/>
    </row>
  </sheetData>
  <mergeCells count="62">
    <mergeCell ref="C6:C8"/>
    <mergeCell ref="D6:D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5:B55"/>
    <mergeCell ref="C2:H2"/>
    <mergeCell ref="A68:B68"/>
    <mergeCell ref="A69:B69"/>
    <mergeCell ref="A62:B62"/>
    <mergeCell ref="A63:B63"/>
    <mergeCell ref="A64:B64"/>
    <mergeCell ref="A65:B65"/>
    <mergeCell ref="A66:B66"/>
    <mergeCell ref="A67:B67"/>
    <mergeCell ref="A56:B56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zoomScaleSheetLayoutView="100" workbookViewId="0">
      <selection activeCell="A53" sqref="A53"/>
    </sheetView>
  </sheetViews>
  <sheetFormatPr defaultRowHeight="12.75" x14ac:dyDescent="0.2"/>
  <cols>
    <col min="1" max="1" width="0.28515625" customWidth="1"/>
    <col min="2" max="2" width="6.42578125" customWidth="1"/>
    <col min="3" max="3" width="47.28515625" customWidth="1"/>
    <col min="4" max="5" width="22.140625" style="133" customWidth="1"/>
    <col min="6" max="6" width="20.7109375" style="133" customWidth="1"/>
  </cols>
  <sheetData>
    <row r="1" spans="1:8" s="36" customFormat="1" ht="25.5" customHeight="1" x14ac:dyDescent="0.2">
      <c r="B1" s="248" t="s">
        <v>172</v>
      </c>
      <c r="C1" s="248"/>
      <c r="D1" s="248"/>
      <c r="E1" s="248"/>
      <c r="F1" s="248"/>
    </row>
    <row r="2" spans="1:8" s="36" customFormat="1" ht="15" customHeight="1" x14ac:dyDescent="0.15">
      <c r="D2" s="110"/>
      <c r="E2" s="110"/>
      <c r="F2" s="110"/>
    </row>
    <row r="3" spans="1:8" s="36" customFormat="1" ht="18" customHeight="1" x14ac:dyDescent="0.2">
      <c r="A3" s="37"/>
      <c r="B3" s="249" t="s">
        <v>173</v>
      </c>
      <c r="C3" s="249"/>
      <c r="D3" s="111" t="s">
        <v>174</v>
      </c>
      <c r="E3" s="111" t="s">
        <v>175</v>
      </c>
      <c r="F3" s="111" t="s">
        <v>243</v>
      </c>
    </row>
    <row r="4" spans="1:8" s="36" customFormat="1" ht="18" customHeight="1" x14ac:dyDescent="0.2">
      <c r="A4" s="37"/>
      <c r="B4" s="249"/>
      <c r="C4" s="249"/>
      <c r="D4" s="111" t="s">
        <v>8</v>
      </c>
      <c r="E4" s="111" t="s">
        <v>8</v>
      </c>
      <c r="F4" s="111" t="s">
        <v>8</v>
      </c>
    </row>
    <row r="5" spans="1:8" s="36" customFormat="1" ht="3" customHeight="1" x14ac:dyDescent="0.2">
      <c r="A5" s="38"/>
      <c r="B5" s="246"/>
      <c r="C5" s="246"/>
      <c r="D5" s="112"/>
      <c r="E5" s="112"/>
      <c r="F5" s="113"/>
    </row>
    <row r="6" spans="1:8" s="36" customFormat="1" ht="7.5" customHeight="1" x14ac:dyDescent="0.15">
      <c r="D6" s="110"/>
      <c r="E6" s="110"/>
      <c r="F6" s="114"/>
    </row>
    <row r="7" spans="1:8" s="36" customFormat="1" ht="18" customHeight="1" x14ac:dyDescent="0.2">
      <c r="A7" s="37"/>
      <c r="B7" s="39"/>
      <c r="C7" s="40" t="s">
        <v>176</v>
      </c>
      <c r="D7" s="115">
        <v>0</v>
      </c>
      <c r="E7" s="115">
        <v>0</v>
      </c>
      <c r="F7" s="116">
        <v>0</v>
      </c>
    </row>
    <row r="8" spans="1:8" s="36" customFormat="1" ht="3" customHeight="1" x14ac:dyDescent="0.2">
      <c r="A8" s="38"/>
      <c r="B8" s="246"/>
      <c r="C8" s="246"/>
      <c r="D8" s="112"/>
      <c r="E8" s="112"/>
      <c r="F8" s="113"/>
    </row>
    <row r="9" spans="1:8" s="36" customFormat="1" ht="7.5" customHeight="1" x14ac:dyDescent="0.15">
      <c r="D9" s="110"/>
      <c r="E9" s="110"/>
      <c r="F9" s="114"/>
    </row>
    <row r="10" spans="1:8" s="36" customFormat="1" ht="15" customHeight="1" x14ac:dyDescent="0.2">
      <c r="A10" s="41" t="s">
        <v>177</v>
      </c>
      <c r="B10" s="42" t="s">
        <v>178</v>
      </c>
      <c r="C10" s="84" t="s">
        <v>179</v>
      </c>
      <c r="D10" s="117" t="s">
        <v>180</v>
      </c>
      <c r="E10" s="118" t="s">
        <v>181</v>
      </c>
      <c r="F10" s="119" t="s">
        <v>182</v>
      </c>
    </row>
    <row r="11" spans="1:8" s="36" customFormat="1" ht="15" customHeight="1" x14ac:dyDescent="0.2">
      <c r="A11" s="44" t="s">
        <v>183</v>
      </c>
      <c r="B11" s="45" t="s">
        <v>184</v>
      </c>
      <c r="C11" s="85" t="s">
        <v>1</v>
      </c>
      <c r="D11" s="120">
        <v>176264.5</v>
      </c>
      <c r="E11" s="121">
        <f>253730.7-4700</f>
        <v>249030.7</v>
      </c>
      <c r="F11" s="122">
        <f>262375.35-4606.12</f>
        <v>257769.22999999998</v>
      </c>
      <c r="H11" s="69" t="s">
        <v>92</v>
      </c>
    </row>
    <row r="12" spans="1:8" s="36" customFormat="1" ht="15" customHeight="1" x14ac:dyDescent="0.2">
      <c r="A12" s="47"/>
      <c r="B12" s="45" t="s">
        <v>185</v>
      </c>
      <c r="C12" s="85" t="s">
        <v>2</v>
      </c>
      <c r="D12" s="120">
        <v>1148809.44</v>
      </c>
      <c r="E12" s="121">
        <v>1158269.68</v>
      </c>
      <c r="F12" s="122">
        <v>1163777.46</v>
      </c>
    </row>
    <row r="13" spans="1:8" s="36" customFormat="1" ht="15" customHeight="1" x14ac:dyDescent="0.2">
      <c r="A13" s="47"/>
      <c r="B13" s="45" t="s">
        <v>186</v>
      </c>
      <c r="C13" s="85" t="s">
        <v>3</v>
      </c>
      <c r="D13" s="120">
        <f>13200966.26-17000+1000+4000</f>
        <v>13188966.26</v>
      </c>
      <c r="E13" s="121">
        <f>12457047.54-14300+4700</f>
        <v>12447447.539999999</v>
      </c>
      <c r="F13" s="122">
        <f>12543346.12-14300+4606.12</f>
        <v>12533652.239999998</v>
      </c>
    </row>
    <row r="14" spans="1:8" s="36" customFormat="1" ht="15" customHeight="1" x14ac:dyDescent="0.2">
      <c r="A14" s="47"/>
      <c r="B14" s="45" t="s">
        <v>187</v>
      </c>
      <c r="C14" s="85" t="s">
        <v>4</v>
      </c>
      <c r="D14" s="120">
        <f>9863107.12+17000-4000</f>
        <v>9876107.1199999992</v>
      </c>
      <c r="E14" s="121">
        <f>8360300+14300</f>
        <v>8374600</v>
      </c>
      <c r="F14" s="122">
        <f>8398700+14300</f>
        <v>8413000</v>
      </c>
    </row>
    <row r="15" spans="1:8" s="36" customFormat="1" ht="15" customHeight="1" x14ac:dyDescent="0.2">
      <c r="A15" s="47"/>
      <c r="B15" s="45" t="s">
        <v>188</v>
      </c>
      <c r="C15" s="85" t="s">
        <v>5</v>
      </c>
      <c r="D15" s="120">
        <v>500</v>
      </c>
      <c r="E15" s="121">
        <v>500</v>
      </c>
      <c r="F15" s="122">
        <v>500</v>
      </c>
    </row>
    <row r="16" spans="1:8" s="36" customFormat="1" ht="15" customHeight="1" x14ac:dyDescent="0.2">
      <c r="A16" s="47"/>
      <c r="B16" s="45" t="s">
        <v>189</v>
      </c>
      <c r="C16" s="85" t="s">
        <v>6</v>
      </c>
      <c r="D16" s="120">
        <v>164700.25</v>
      </c>
      <c r="E16" s="121">
        <v>131176.07</v>
      </c>
      <c r="F16" s="122">
        <v>131176.07</v>
      </c>
    </row>
    <row r="17" spans="1:6" s="36" customFormat="1" ht="15" customHeight="1" x14ac:dyDescent="0.2">
      <c r="A17" s="47"/>
      <c r="B17" s="45" t="s">
        <v>190</v>
      </c>
      <c r="C17" s="85" t="s">
        <v>7</v>
      </c>
      <c r="D17" s="120">
        <v>5747055.7300000004</v>
      </c>
      <c r="E17" s="121">
        <f>273870.01-50000</f>
        <v>223870.01</v>
      </c>
      <c r="F17" s="122">
        <f>277519-50000</f>
        <v>227519</v>
      </c>
    </row>
    <row r="18" spans="1:6" s="36" customFormat="1" ht="15" customHeight="1" x14ac:dyDescent="0.15">
      <c r="A18" s="48" t="s">
        <v>16</v>
      </c>
      <c r="B18" s="49" t="s">
        <v>183</v>
      </c>
      <c r="C18" s="86" t="s">
        <v>191</v>
      </c>
      <c r="D18" s="123">
        <f>SUM(D11:D17)</f>
        <v>30302403.300000001</v>
      </c>
      <c r="E18" s="124">
        <f>SUM(E11:E17)</f>
        <v>22584894</v>
      </c>
      <c r="F18" s="125">
        <f>SUM(F11:F17)</f>
        <v>22727394</v>
      </c>
    </row>
    <row r="19" spans="1:6" s="36" customFormat="1" ht="7.5" customHeight="1" x14ac:dyDescent="0.2">
      <c r="A19" s="51"/>
      <c r="B19" s="51"/>
      <c r="C19" s="51"/>
      <c r="D19" s="126"/>
      <c r="E19" s="126"/>
      <c r="F19" s="127"/>
    </row>
    <row r="20" spans="1:6" s="36" customFormat="1" ht="15" customHeight="1" x14ac:dyDescent="0.2">
      <c r="A20" s="41" t="s">
        <v>177</v>
      </c>
      <c r="B20" s="42" t="s">
        <v>178</v>
      </c>
      <c r="C20" s="43" t="s">
        <v>192</v>
      </c>
      <c r="D20" s="119" t="s">
        <v>180</v>
      </c>
      <c r="E20" s="119" t="s">
        <v>181</v>
      </c>
      <c r="F20" s="119" t="s">
        <v>182</v>
      </c>
    </row>
    <row r="21" spans="1:6" s="36" customFormat="1" ht="15" customHeight="1" x14ac:dyDescent="0.2">
      <c r="A21" s="44" t="s">
        <v>193</v>
      </c>
      <c r="B21" s="45" t="s">
        <v>194</v>
      </c>
      <c r="C21" s="46" t="s">
        <v>83</v>
      </c>
      <c r="D21" s="122">
        <v>1794819.34</v>
      </c>
      <c r="E21" s="122">
        <v>446656</v>
      </c>
      <c r="F21" s="122">
        <v>446656</v>
      </c>
    </row>
    <row r="22" spans="1:6" s="36" customFormat="1" ht="15" customHeight="1" x14ac:dyDescent="0.2">
      <c r="A22" s="47"/>
      <c r="B22" s="45" t="s">
        <v>195</v>
      </c>
      <c r="C22" s="46" t="s">
        <v>84</v>
      </c>
      <c r="D22" s="122">
        <v>20000</v>
      </c>
      <c r="E22" s="122">
        <v>90000</v>
      </c>
      <c r="F22" s="122">
        <v>90000</v>
      </c>
    </row>
    <row r="23" spans="1:6" s="36" customFormat="1" ht="15" customHeight="1" x14ac:dyDescent="0.2">
      <c r="A23" s="47"/>
      <c r="B23" s="45" t="s">
        <v>196</v>
      </c>
      <c r="C23" s="46" t="s">
        <v>85</v>
      </c>
      <c r="D23" s="122">
        <v>45000</v>
      </c>
      <c r="E23" s="122">
        <v>49500</v>
      </c>
      <c r="F23" s="122">
        <v>49500</v>
      </c>
    </row>
    <row r="24" spans="1:6" s="36" customFormat="1" ht="15" customHeight="1" x14ac:dyDescent="0.15">
      <c r="A24" s="48" t="s">
        <v>82</v>
      </c>
      <c r="B24" s="49" t="s">
        <v>193</v>
      </c>
      <c r="C24" s="50" t="s">
        <v>197</v>
      </c>
      <c r="D24" s="125">
        <f>SUM(D21:D23)</f>
        <v>1859819.34</v>
      </c>
      <c r="E24" s="125">
        <f>SUM(E21:E23)</f>
        <v>586156</v>
      </c>
      <c r="F24" s="125">
        <f>SUM(F21:F23)</f>
        <v>586156</v>
      </c>
    </row>
    <row r="25" spans="1:6" s="36" customFormat="1" ht="15" customHeight="1" x14ac:dyDescent="0.15">
      <c r="A25" s="48"/>
      <c r="B25" s="72"/>
      <c r="C25" s="73"/>
      <c r="D25" s="128"/>
      <c r="E25" s="128"/>
      <c r="F25" s="129"/>
    </row>
    <row r="26" spans="1:6" s="36" customFormat="1" ht="15" customHeight="1" x14ac:dyDescent="0.15">
      <c r="A26" s="48"/>
      <c r="B26" s="42" t="s">
        <v>178</v>
      </c>
      <c r="C26" s="43" t="s">
        <v>228</v>
      </c>
      <c r="D26" s="119" t="s">
        <v>180</v>
      </c>
      <c r="E26" s="119" t="s">
        <v>181</v>
      </c>
      <c r="F26" s="119" t="s">
        <v>182</v>
      </c>
    </row>
    <row r="27" spans="1:6" s="36" customFormat="1" ht="15" customHeight="1" x14ac:dyDescent="0.15">
      <c r="A27" s="48"/>
      <c r="B27" s="45" t="s">
        <v>227</v>
      </c>
      <c r="C27" s="46" t="s">
        <v>234</v>
      </c>
      <c r="D27" s="122">
        <v>50000</v>
      </c>
      <c r="E27" s="122">
        <v>0</v>
      </c>
      <c r="F27" s="122">
        <v>0</v>
      </c>
    </row>
    <row r="28" spans="1:6" s="36" customFormat="1" ht="15" customHeight="1" x14ac:dyDescent="0.15">
      <c r="A28" s="48"/>
      <c r="B28" s="45" t="s">
        <v>229</v>
      </c>
      <c r="C28" s="46" t="s">
        <v>235</v>
      </c>
      <c r="D28" s="122">
        <v>0</v>
      </c>
      <c r="E28" s="122">
        <v>0</v>
      </c>
      <c r="F28" s="122">
        <v>0</v>
      </c>
    </row>
    <row r="29" spans="1:6" s="36" customFormat="1" ht="15" customHeight="1" x14ac:dyDescent="0.15">
      <c r="A29" s="48"/>
      <c r="B29" s="45" t="s">
        <v>230</v>
      </c>
      <c r="C29" s="46" t="s">
        <v>236</v>
      </c>
      <c r="D29" s="122">
        <v>0</v>
      </c>
      <c r="E29" s="122">
        <v>0</v>
      </c>
      <c r="F29" s="122">
        <v>0</v>
      </c>
    </row>
    <row r="30" spans="1:6" s="36" customFormat="1" ht="15" customHeight="1" x14ac:dyDescent="0.15">
      <c r="A30" s="48"/>
      <c r="B30" s="45" t="s">
        <v>231</v>
      </c>
      <c r="C30" s="46" t="s">
        <v>237</v>
      </c>
      <c r="D30" s="122">
        <v>0</v>
      </c>
      <c r="E30" s="122">
        <v>0</v>
      </c>
      <c r="F30" s="122">
        <v>0</v>
      </c>
    </row>
    <row r="31" spans="1:6" s="36" customFormat="1" ht="15" customHeight="1" x14ac:dyDescent="0.15">
      <c r="A31" s="48"/>
      <c r="B31" s="49" t="s">
        <v>232</v>
      </c>
      <c r="C31" s="50" t="s">
        <v>233</v>
      </c>
      <c r="D31" s="125">
        <f>SUM(D27:D30)</f>
        <v>50000</v>
      </c>
      <c r="E31" s="125">
        <f>SUM(E27:E30)</f>
        <v>0</v>
      </c>
      <c r="F31" s="125">
        <f>SUM(F27:F30)</f>
        <v>0</v>
      </c>
    </row>
    <row r="32" spans="1:6" s="36" customFormat="1" ht="15" customHeight="1" x14ac:dyDescent="0.15">
      <c r="A32" s="48"/>
      <c r="B32" s="72"/>
      <c r="C32" s="73"/>
      <c r="D32" s="128"/>
      <c r="E32" s="128"/>
      <c r="F32" s="129"/>
    </row>
    <row r="33" spans="1:6" s="36" customFormat="1" ht="7.5" customHeight="1" x14ac:dyDescent="0.2">
      <c r="A33" s="51"/>
      <c r="B33" s="51"/>
      <c r="C33" s="51"/>
      <c r="D33" s="126"/>
      <c r="E33" s="126"/>
      <c r="F33" s="127"/>
    </row>
    <row r="34" spans="1:6" s="36" customFormat="1" ht="15" customHeight="1" x14ac:dyDescent="0.2">
      <c r="A34" s="41" t="s">
        <v>177</v>
      </c>
      <c r="B34" s="42" t="s">
        <v>178</v>
      </c>
      <c r="C34" s="43" t="s">
        <v>198</v>
      </c>
      <c r="D34" s="119" t="s">
        <v>180</v>
      </c>
      <c r="E34" s="119" t="s">
        <v>181</v>
      </c>
      <c r="F34" s="119" t="s">
        <v>182</v>
      </c>
    </row>
    <row r="35" spans="1:6" s="36" customFormat="1" ht="15" customHeight="1" x14ac:dyDescent="0.2">
      <c r="A35" s="44" t="s">
        <v>199</v>
      </c>
      <c r="B35" s="45" t="s">
        <v>200</v>
      </c>
      <c r="C35" s="46" t="s">
        <v>201</v>
      </c>
      <c r="D35" s="122">
        <f>5315950-1000</f>
        <v>5314950</v>
      </c>
      <c r="E35" s="122">
        <v>5315950</v>
      </c>
      <c r="F35" s="122">
        <v>5315950</v>
      </c>
    </row>
    <row r="36" spans="1:6" s="36" customFormat="1" ht="15" customHeight="1" x14ac:dyDescent="0.2">
      <c r="A36" s="47"/>
      <c r="B36" s="45" t="s">
        <v>202</v>
      </c>
      <c r="C36" s="46" t="s">
        <v>203</v>
      </c>
      <c r="D36" s="122">
        <v>6000</v>
      </c>
      <c r="E36" s="122">
        <v>2000</v>
      </c>
      <c r="F36" s="122">
        <v>2000</v>
      </c>
    </row>
    <row r="37" spans="1:6" s="36" customFormat="1" ht="15" customHeight="1" x14ac:dyDescent="0.15">
      <c r="A37" s="48" t="s">
        <v>43</v>
      </c>
      <c r="B37" s="49" t="s">
        <v>199</v>
      </c>
      <c r="C37" s="50" t="s">
        <v>204</v>
      </c>
      <c r="D37" s="125">
        <f>SUM(D35:D36)</f>
        <v>5320950</v>
      </c>
      <c r="E37" s="125">
        <f>SUM(E35:E36)</f>
        <v>5317950</v>
      </c>
      <c r="F37" s="125">
        <f>SUM(F35:F36)</f>
        <v>5317950</v>
      </c>
    </row>
    <row r="38" spans="1:6" s="36" customFormat="1" ht="7.5" customHeight="1" x14ac:dyDescent="0.2">
      <c r="A38" s="51"/>
      <c r="B38" s="51"/>
      <c r="C38" s="51"/>
      <c r="D38" s="126"/>
      <c r="E38" s="126"/>
      <c r="F38" s="127"/>
    </row>
    <row r="39" spans="1:6" s="36" customFormat="1" ht="18" customHeight="1" x14ac:dyDescent="0.15">
      <c r="A39" s="52"/>
      <c r="B39" s="247" t="s">
        <v>205</v>
      </c>
      <c r="C39" s="247"/>
      <c r="D39" s="116">
        <f>D37+D24+D18+D31</f>
        <v>37533172.640000001</v>
      </c>
      <c r="E39" s="116">
        <f>E37+E24+E18+E31</f>
        <v>28489000</v>
      </c>
      <c r="F39" s="116">
        <f>F37+F24+F18+F31</f>
        <v>28631500</v>
      </c>
    </row>
    <row r="40" spans="1:6" s="36" customFormat="1" ht="7.5" customHeight="1" x14ac:dyDescent="0.15">
      <c r="A40" s="52"/>
      <c r="B40" s="53"/>
      <c r="C40" s="53"/>
      <c r="D40" s="130"/>
      <c r="E40" s="130"/>
      <c r="F40" s="131"/>
    </row>
    <row r="41" spans="1:6" s="36" customFormat="1" ht="18" customHeight="1" x14ac:dyDescent="0.15">
      <c r="A41" s="52"/>
      <c r="B41" s="54"/>
      <c r="C41" s="55" t="s">
        <v>206</v>
      </c>
      <c r="D41" s="132">
        <f>D39+D7</f>
        <v>37533172.640000001</v>
      </c>
      <c r="E41" s="132">
        <f>E39+E7</f>
        <v>28489000</v>
      </c>
      <c r="F41" s="132">
        <f>F39+F7</f>
        <v>28631500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63"/>
  <sheetViews>
    <sheetView zoomScaleNormal="100" zoomScaleSheetLayoutView="70" workbookViewId="0">
      <selection activeCell="F18" sqref="F18:G19"/>
    </sheetView>
  </sheetViews>
  <sheetFormatPr defaultRowHeight="14.25" x14ac:dyDescent="0.2"/>
  <cols>
    <col min="1" max="1" width="5.5703125" style="81" customWidth="1"/>
    <col min="2" max="2" width="14.140625" style="81" customWidth="1"/>
    <col min="3" max="3" width="48.140625" style="80" customWidth="1"/>
    <col min="4" max="4" width="15.7109375" style="81" customWidth="1"/>
    <col min="5" max="5" width="18.85546875" style="81" customWidth="1"/>
    <col min="6" max="6" width="20.28515625" style="81" customWidth="1"/>
    <col min="7" max="7" width="19.28515625" style="81" customWidth="1"/>
    <col min="8" max="9" width="15.85546875" style="81" customWidth="1"/>
    <col min="10" max="10" width="20" style="81" customWidth="1"/>
    <col min="11" max="11" width="21.140625" style="81" customWidth="1"/>
    <col min="12" max="16384" width="9.140625" style="81"/>
  </cols>
  <sheetData>
    <row r="1" spans="1:11" s="77" customFormat="1" ht="45" customHeight="1" x14ac:dyDescent="0.2">
      <c r="A1" s="252" t="s">
        <v>80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s="77" customFormat="1" ht="60" x14ac:dyDescent="0.2">
      <c r="B2" s="250" t="s">
        <v>0</v>
      </c>
      <c r="C2" s="250"/>
      <c r="D2" s="74" t="s">
        <v>1</v>
      </c>
      <c r="E2" s="74" t="s">
        <v>2</v>
      </c>
      <c r="F2" s="74" t="s">
        <v>3</v>
      </c>
      <c r="G2" s="74" t="s">
        <v>4</v>
      </c>
      <c r="H2" s="74" t="s">
        <v>5</v>
      </c>
      <c r="I2" s="74" t="s">
        <v>6</v>
      </c>
      <c r="J2" s="74" t="s">
        <v>7</v>
      </c>
      <c r="K2" s="237" t="s">
        <v>8</v>
      </c>
    </row>
    <row r="3" spans="1:11" s="77" customFormat="1" ht="15" x14ac:dyDescent="0.2">
      <c r="B3" s="250"/>
      <c r="C3" s="250"/>
      <c r="D3" s="237" t="s">
        <v>9</v>
      </c>
      <c r="E3" s="237" t="s">
        <v>10</v>
      </c>
      <c r="F3" s="237" t="s">
        <v>11</v>
      </c>
      <c r="G3" s="237" t="s">
        <v>12</v>
      </c>
      <c r="H3" s="237" t="s">
        <v>13</v>
      </c>
      <c r="I3" s="237" t="s">
        <v>14</v>
      </c>
      <c r="J3" s="237" t="s">
        <v>15</v>
      </c>
      <c r="K3" s="237" t="s">
        <v>16</v>
      </c>
    </row>
    <row r="4" spans="1:11" s="77" customFormat="1" x14ac:dyDescent="0.2">
      <c r="A4" s="139"/>
      <c r="B4" s="140"/>
      <c r="C4" s="141"/>
      <c r="D4" s="75" t="s">
        <v>1</v>
      </c>
      <c r="E4" s="75" t="s">
        <v>2</v>
      </c>
      <c r="F4" s="75" t="s">
        <v>3</v>
      </c>
      <c r="G4" s="75" t="s">
        <v>4</v>
      </c>
      <c r="H4" s="75" t="s">
        <v>5</v>
      </c>
      <c r="I4" s="75" t="s">
        <v>6</v>
      </c>
      <c r="J4" s="75" t="s">
        <v>7</v>
      </c>
      <c r="K4" s="137"/>
    </row>
    <row r="5" spans="1:11" s="77" customFormat="1" ht="28.5" x14ac:dyDescent="0.2">
      <c r="A5" s="139"/>
      <c r="B5" s="142" t="s">
        <v>17</v>
      </c>
      <c r="C5" s="143" t="s">
        <v>18</v>
      </c>
      <c r="D5" s="76" t="s">
        <v>9</v>
      </c>
      <c r="E5" s="76" t="s">
        <v>10</v>
      </c>
      <c r="F5" s="76"/>
      <c r="G5" s="76" t="s">
        <v>12</v>
      </c>
      <c r="H5" s="76" t="s">
        <v>13</v>
      </c>
      <c r="I5" s="76" t="s">
        <v>14</v>
      </c>
      <c r="J5" s="76" t="s">
        <v>15</v>
      </c>
      <c r="K5" s="138"/>
    </row>
    <row r="6" spans="1:11" s="77" customFormat="1" ht="15" x14ac:dyDescent="0.25">
      <c r="A6" s="144" t="s">
        <v>16</v>
      </c>
      <c r="B6" s="145" t="s">
        <v>17</v>
      </c>
      <c r="C6" s="146" t="s">
        <v>19</v>
      </c>
      <c r="D6" s="134" t="s">
        <v>20</v>
      </c>
      <c r="E6" s="134">
        <f>926669.96+1388.37+156.11-10000</f>
        <v>918214.44</v>
      </c>
      <c r="F6" s="134">
        <v>7892563.7499999991</v>
      </c>
      <c r="G6" s="134">
        <f>7422600+16600.2+19628.71+9000+14500-89144.38+17000</f>
        <v>7410184.5300000003</v>
      </c>
      <c r="H6" s="134" t="s">
        <v>20</v>
      </c>
      <c r="I6" s="134" t="s">
        <v>20</v>
      </c>
      <c r="J6" s="134">
        <v>2000</v>
      </c>
      <c r="K6" s="134">
        <f>D6+E6+F6+G6+H6+I6+J6</f>
        <v>16222962.719999999</v>
      </c>
    </row>
    <row r="7" spans="1:11" s="77" customFormat="1" ht="15" x14ac:dyDescent="0.25">
      <c r="A7" s="147"/>
      <c r="B7" s="145" t="s">
        <v>21</v>
      </c>
      <c r="C7" s="146" t="s">
        <v>22</v>
      </c>
      <c r="D7" s="134" t="s">
        <v>20</v>
      </c>
      <c r="E7" s="134" t="s">
        <v>20</v>
      </c>
      <c r="F7" s="134">
        <f>31090-1500</f>
        <v>29590</v>
      </c>
      <c r="G7" s="134" t="s">
        <v>20</v>
      </c>
      <c r="H7" s="134" t="s">
        <v>20</v>
      </c>
      <c r="I7" s="134" t="s">
        <v>20</v>
      </c>
      <c r="J7" s="134" t="s">
        <v>20</v>
      </c>
      <c r="K7" s="134">
        <f t="shared" ref="K7:K13" si="0">D7+E7+F7+G7+H7+I7+J7</f>
        <v>29590</v>
      </c>
    </row>
    <row r="8" spans="1:11" s="77" customFormat="1" ht="28.5" x14ac:dyDescent="0.25">
      <c r="A8" s="147"/>
      <c r="B8" s="145" t="s">
        <v>23</v>
      </c>
      <c r="C8" s="146" t="s">
        <v>24</v>
      </c>
      <c r="D8" s="134">
        <f>253084.5-77500</f>
        <v>175584.5</v>
      </c>
      <c r="E8" s="134">
        <f>10700+5300</f>
        <v>16000</v>
      </c>
      <c r="F8" s="134">
        <f>2514996.4+133144.7</f>
        <v>2648141.1</v>
      </c>
      <c r="G8" s="134" t="s">
        <v>20</v>
      </c>
      <c r="H8" s="134" t="s">
        <v>20</v>
      </c>
      <c r="I8" s="134">
        <v>28000</v>
      </c>
      <c r="J8" s="134">
        <v>106860.01</v>
      </c>
      <c r="K8" s="134">
        <f t="shared" si="0"/>
        <v>2974585.61</v>
      </c>
    </row>
    <row r="9" spans="1:11" s="77" customFormat="1" ht="15" x14ac:dyDescent="0.25">
      <c r="A9" s="147"/>
      <c r="B9" s="145" t="s">
        <v>25</v>
      </c>
      <c r="C9" s="146" t="s">
        <v>26</v>
      </c>
      <c r="D9" s="134" t="s">
        <v>20</v>
      </c>
      <c r="E9" s="134">
        <v>210180</v>
      </c>
      <c r="F9" s="134">
        <f>26830-25+2294.58</f>
        <v>29099.58</v>
      </c>
      <c r="G9" s="134" t="s">
        <v>20</v>
      </c>
      <c r="H9" s="134" t="s">
        <v>20</v>
      </c>
      <c r="I9" s="134" t="s">
        <v>20</v>
      </c>
      <c r="J9" s="134">
        <v>6000</v>
      </c>
      <c r="K9" s="134">
        <f t="shared" si="0"/>
        <v>245279.58000000002</v>
      </c>
    </row>
    <row r="10" spans="1:11" s="77" customFormat="1" ht="15" x14ac:dyDescent="0.25">
      <c r="A10" s="147"/>
      <c r="B10" s="145" t="s">
        <v>27</v>
      </c>
      <c r="C10" s="146" t="s">
        <v>28</v>
      </c>
      <c r="D10" s="134" t="s">
        <v>20</v>
      </c>
      <c r="E10" s="134" t="s">
        <v>20</v>
      </c>
      <c r="F10" s="134">
        <f>486465-30000</f>
        <v>456465</v>
      </c>
      <c r="G10" s="134" t="s">
        <v>20</v>
      </c>
      <c r="H10" s="134" t="s">
        <v>20</v>
      </c>
      <c r="I10" s="134" t="s">
        <v>20</v>
      </c>
      <c r="J10" s="134">
        <f>15000-15000</f>
        <v>0</v>
      </c>
      <c r="K10" s="134">
        <f t="shared" si="0"/>
        <v>456465</v>
      </c>
    </row>
    <row r="11" spans="1:11" s="77" customFormat="1" ht="15" x14ac:dyDescent="0.25">
      <c r="A11" s="147"/>
      <c r="B11" s="145" t="s">
        <v>29</v>
      </c>
      <c r="C11" s="146" t="s">
        <v>30</v>
      </c>
      <c r="D11" s="134" t="s">
        <v>20</v>
      </c>
      <c r="E11" s="134" t="s">
        <v>20</v>
      </c>
      <c r="F11" s="134">
        <f>1058074.17+240000+60000</f>
        <v>1358074.17</v>
      </c>
      <c r="G11" s="134" t="s">
        <v>20</v>
      </c>
      <c r="H11" s="134" t="s">
        <v>20</v>
      </c>
      <c r="I11" s="134" t="s">
        <v>20</v>
      </c>
      <c r="J11" s="134">
        <v>0</v>
      </c>
      <c r="K11" s="134">
        <f t="shared" si="0"/>
        <v>1358074.17</v>
      </c>
    </row>
    <row r="12" spans="1:11" s="77" customFormat="1" ht="15" x14ac:dyDescent="0.25">
      <c r="A12" s="147"/>
      <c r="B12" s="145" t="s">
        <v>31</v>
      </c>
      <c r="C12" s="146" t="s">
        <v>32</v>
      </c>
      <c r="D12" s="134">
        <f>630+200-150</f>
        <v>680</v>
      </c>
      <c r="E12" s="134">
        <f>5120+765-1700</f>
        <v>4185</v>
      </c>
      <c r="F12" s="134">
        <f>95300+6000+2268.42+1500+1000</f>
        <v>106068.42</v>
      </c>
      <c r="G12" s="134" t="s">
        <v>20</v>
      </c>
      <c r="H12" s="134" t="s">
        <v>20</v>
      </c>
      <c r="I12" s="134">
        <f>131176.07+6524.18-1000</f>
        <v>136700.25</v>
      </c>
      <c r="J12" s="134" t="s">
        <v>20</v>
      </c>
      <c r="K12" s="134">
        <f t="shared" si="0"/>
        <v>247633.66999999998</v>
      </c>
    </row>
    <row r="13" spans="1:11" s="77" customFormat="1" ht="15" x14ac:dyDescent="0.25">
      <c r="A13" s="147"/>
      <c r="B13" s="145" t="s">
        <v>33</v>
      </c>
      <c r="C13" s="146" t="s">
        <v>34</v>
      </c>
      <c r="D13" s="134" t="s">
        <v>20</v>
      </c>
      <c r="E13" s="134">
        <f>230</f>
        <v>230</v>
      </c>
      <c r="F13" s="134">
        <f>5500+11827.54-1800-1000</f>
        <v>14527.54</v>
      </c>
      <c r="G13" s="134">
        <f>23250-4000</f>
        <v>19250</v>
      </c>
      <c r="H13" s="134">
        <v>500</v>
      </c>
      <c r="I13" s="134" t="s">
        <v>20</v>
      </c>
      <c r="J13" s="134">
        <v>3600</v>
      </c>
      <c r="K13" s="134">
        <f t="shared" si="0"/>
        <v>38107.54</v>
      </c>
    </row>
    <row r="14" spans="1:11" s="77" customFormat="1" ht="28.5" x14ac:dyDescent="0.2">
      <c r="A14" s="75" t="s">
        <v>16</v>
      </c>
      <c r="B14" s="148"/>
      <c r="C14" s="149" t="s">
        <v>35</v>
      </c>
      <c r="D14" s="135">
        <f>SUM(D6:D13)</f>
        <v>176264.5</v>
      </c>
      <c r="E14" s="135">
        <f t="shared" ref="E14:J14" si="1">SUM(E6:E13)</f>
        <v>1148809.44</v>
      </c>
      <c r="F14" s="135">
        <f t="shared" si="1"/>
        <v>12534529.559999999</v>
      </c>
      <c r="G14" s="135">
        <f t="shared" si="1"/>
        <v>7429434.5300000003</v>
      </c>
      <c r="H14" s="135">
        <f t="shared" si="1"/>
        <v>500</v>
      </c>
      <c r="I14" s="135">
        <f t="shared" si="1"/>
        <v>164700.25</v>
      </c>
      <c r="J14" s="135">
        <f t="shared" si="1"/>
        <v>118460.01</v>
      </c>
      <c r="K14" s="135">
        <f>D14+E14+F14+G14+H14+I14+J14</f>
        <v>21572698.289999999</v>
      </c>
    </row>
    <row r="15" spans="1:11" s="77" customFormat="1" x14ac:dyDescent="0.2">
      <c r="C15" s="150"/>
    </row>
    <row r="16" spans="1:11" s="77" customFormat="1" ht="28.5" x14ac:dyDescent="0.2">
      <c r="A16" s="139"/>
      <c r="B16" s="142" t="s">
        <v>25</v>
      </c>
      <c r="C16" s="143" t="s">
        <v>36</v>
      </c>
      <c r="D16" s="76" t="s">
        <v>9</v>
      </c>
      <c r="E16" s="76" t="s">
        <v>10</v>
      </c>
      <c r="F16" s="76" t="s">
        <v>11</v>
      </c>
      <c r="G16" s="76" t="s">
        <v>12</v>
      </c>
      <c r="H16" s="76" t="s">
        <v>13</v>
      </c>
      <c r="I16" s="76" t="s">
        <v>14</v>
      </c>
      <c r="J16" s="76" t="s">
        <v>15</v>
      </c>
      <c r="K16" s="138"/>
    </row>
    <row r="17" spans="1:11" s="77" customFormat="1" ht="15" x14ac:dyDescent="0.25">
      <c r="A17" s="144" t="s">
        <v>37</v>
      </c>
      <c r="B17" s="145" t="s">
        <v>17</v>
      </c>
      <c r="C17" s="146" t="s">
        <v>38</v>
      </c>
      <c r="D17" s="134" t="s">
        <v>20</v>
      </c>
      <c r="E17" s="134" t="s">
        <v>20</v>
      </c>
      <c r="F17" s="134" t="s">
        <v>20</v>
      </c>
      <c r="G17" s="134" t="s">
        <v>20</v>
      </c>
      <c r="H17" s="134" t="s">
        <v>20</v>
      </c>
      <c r="I17" s="134" t="s">
        <v>20</v>
      </c>
      <c r="J17" s="134">
        <v>0</v>
      </c>
      <c r="K17" s="134">
        <f>D17+E17+F17+G17+H17+I17+J17</f>
        <v>0</v>
      </c>
    </row>
    <row r="18" spans="1:11" s="77" customFormat="1" ht="28.5" x14ac:dyDescent="0.25">
      <c r="A18" s="147"/>
      <c r="B18" s="145" t="s">
        <v>21</v>
      </c>
      <c r="C18" s="146" t="s">
        <v>39</v>
      </c>
      <c r="D18" s="134" t="s">
        <v>20</v>
      </c>
      <c r="E18" s="134" t="s">
        <v>20</v>
      </c>
      <c r="F18" s="134">
        <f>613758.61+10000+50000+10344.91+56000-103066.82+4000</f>
        <v>641036.69999999995</v>
      </c>
      <c r="G18" s="134">
        <f>479500+1000000+80786.26+44000-25870-4000</f>
        <v>1574416.26</v>
      </c>
      <c r="H18" s="134" t="s">
        <v>20</v>
      </c>
      <c r="I18" s="134" t="s">
        <v>20</v>
      </c>
      <c r="J18" s="134">
        <v>0</v>
      </c>
      <c r="K18" s="134">
        <f>D18+E18+F18+G18+H18+I18+J18</f>
        <v>2215452.96</v>
      </c>
    </row>
    <row r="19" spans="1:11" s="77" customFormat="1" ht="44.25" customHeight="1" x14ac:dyDescent="0.2">
      <c r="A19" s="75" t="s">
        <v>37</v>
      </c>
      <c r="B19" s="148"/>
      <c r="C19" s="149" t="s">
        <v>40</v>
      </c>
      <c r="D19" s="135">
        <f>SUM(D17:D18)</f>
        <v>0</v>
      </c>
      <c r="E19" s="135">
        <f t="shared" ref="E19:J19" si="2">SUM(E17:E18)</f>
        <v>0</v>
      </c>
      <c r="F19" s="135">
        <f>SUM(F17:F18)</f>
        <v>641036.69999999995</v>
      </c>
      <c r="G19" s="135">
        <f t="shared" si="2"/>
        <v>1574416.26</v>
      </c>
      <c r="H19" s="135">
        <f t="shared" si="2"/>
        <v>0</v>
      </c>
      <c r="I19" s="135">
        <f t="shared" si="2"/>
        <v>0</v>
      </c>
      <c r="J19" s="135">
        <f t="shared" si="2"/>
        <v>0</v>
      </c>
      <c r="K19" s="135">
        <f>D19+E19+F19+G19+H19+I19+J19</f>
        <v>2215452.96</v>
      </c>
    </row>
    <row r="20" spans="1:11" s="77" customFormat="1" x14ac:dyDescent="0.2">
      <c r="C20" s="150"/>
    </row>
    <row r="21" spans="1:11" s="77" customFormat="1" ht="28.5" x14ac:dyDescent="0.2">
      <c r="A21" s="139"/>
      <c r="B21" s="142" t="s">
        <v>27</v>
      </c>
      <c r="C21" s="143" t="s">
        <v>220</v>
      </c>
      <c r="D21" s="76" t="s">
        <v>9</v>
      </c>
      <c r="E21" s="76" t="s">
        <v>10</v>
      </c>
      <c r="F21" s="76" t="s">
        <v>11</v>
      </c>
      <c r="G21" s="76" t="s">
        <v>12</v>
      </c>
      <c r="H21" s="76" t="s">
        <v>13</v>
      </c>
      <c r="I21" s="76" t="s">
        <v>14</v>
      </c>
      <c r="J21" s="76" t="s">
        <v>15</v>
      </c>
      <c r="K21" s="138"/>
    </row>
    <row r="22" spans="1:11" s="77" customFormat="1" ht="28.5" customHeight="1" x14ac:dyDescent="0.25">
      <c r="A22" s="144" t="s">
        <v>37</v>
      </c>
      <c r="B22" s="145" t="s">
        <v>17</v>
      </c>
      <c r="C22" s="146" t="s">
        <v>219</v>
      </c>
      <c r="D22" s="134" t="s">
        <v>20</v>
      </c>
      <c r="E22" s="134" t="s">
        <v>20</v>
      </c>
      <c r="F22" s="134" t="s">
        <v>20</v>
      </c>
      <c r="G22" s="134">
        <v>200000</v>
      </c>
      <c r="H22" s="134" t="s">
        <v>20</v>
      </c>
      <c r="I22" s="134" t="s">
        <v>20</v>
      </c>
      <c r="J22" s="134">
        <v>0</v>
      </c>
      <c r="K22" s="134">
        <f>D22+E22+F22+G22+H22+I22+J22</f>
        <v>200000</v>
      </c>
    </row>
    <row r="23" spans="1:11" s="77" customFormat="1" ht="28.5" x14ac:dyDescent="0.2">
      <c r="A23" s="75" t="s">
        <v>37</v>
      </c>
      <c r="B23" s="148"/>
      <c r="C23" s="149" t="s">
        <v>221</v>
      </c>
      <c r="D23" s="135">
        <f>SUM(D22)</f>
        <v>0</v>
      </c>
      <c r="E23" s="135">
        <f t="shared" ref="E23:J23" si="3">SUM(E22)</f>
        <v>0</v>
      </c>
      <c r="F23" s="135">
        <f t="shared" si="3"/>
        <v>0</v>
      </c>
      <c r="G23" s="135">
        <f t="shared" si="3"/>
        <v>200000</v>
      </c>
      <c r="H23" s="135">
        <f t="shared" si="3"/>
        <v>0</v>
      </c>
      <c r="I23" s="135">
        <f t="shared" si="3"/>
        <v>0</v>
      </c>
      <c r="J23" s="135">
        <f t="shared" si="3"/>
        <v>0</v>
      </c>
      <c r="K23" s="135">
        <f>D23+E23+F23+G23+H23+I23+J23</f>
        <v>200000</v>
      </c>
    </row>
    <row r="24" spans="1:11" s="77" customFormat="1" x14ac:dyDescent="0.2">
      <c r="C24" s="150"/>
    </row>
    <row r="25" spans="1:11" s="77" customFormat="1" x14ac:dyDescent="0.2">
      <c r="A25" s="139"/>
      <c r="B25" s="142" t="s">
        <v>41</v>
      </c>
      <c r="C25" s="143" t="s">
        <v>42</v>
      </c>
      <c r="D25" s="76" t="s">
        <v>9</v>
      </c>
      <c r="E25" s="76" t="s">
        <v>10</v>
      </c>
      <c r="F25" s="76" t="s">
        <v>11</v>
      </c>
      <c r="G25" s="76" t="s">
        <v>12</v>
      </c>
      <c r="H25" s="76" t="s">
        <v>13</v>
      </c>
      <c r="I25" s="76" t="s">
        <v>14</v>
      </c>
      <c r="J25" s="76" t="s">
        <v>15</v>
      </c>
      <c r="K25" s="138"/>
    </row>
    <row r="26" spans="1:11" s="77" customFormat="1" ht="15" x14ac:dyDescent="0.25">
      <c r="A26" s="144" t="s">
        <v>43</v>
      </c>
      <c r="B26" s="145" t="s">
        <v>17</v>
      </c>
      <c r="C26" s="146" t="s">
        <v>44</v>
      </c>
      <c r="D26" s="134" t="s">
        <v>20</v>
      </c>
      <c r="E26" s="134" t="s">
        <v>20</v>
      </c>
      <c r="F26" s="134" t="s">
        <v>20</v>
      </c>
      <c r="G26" s="134">
        <v>250000</v>
      </c>
      <c r="H26" s="134" t="s">
        <v>20</v>
      </c>
      <c r="I26" s="134" t="s">
        <v>20</v>
      </c>
      <c r="J26" s="134" t="s">
        <v>20</v>
      </c>
      <c r="K26" s="134">
        <f>D26+E26+F26+G26+H26+I26+J26</f>
        <v>250000</v>
      </c>
    </row>
    <row r="27" spans="1:11" s="77" customFormat="1" ht="15" x14ac:dyDescent="0.2">
      <c r="A27" s="75" t="s">
        <v>43</v>
      </c>
      <c r="B27" s="148"/>
      <c r="C27" s="149" t="s">
        <v>45</v>
      </c>
      <c r="D27" s="135">
        <f>SUM(D26)</f>
        <v>0</v>
      </c>
      <c r="E27" s="135">
        <f t="shared" ref="E27:J27" si="4">SUM(E26)</f>
        <v>0</v>
      </c>
      <c r="F27" s="135">
        <f t="shared" si="4"/>
        <v>0</v>
      </c>
      <c r="G27" s="135">
        <f t="shared" si="4"/>
        <v>250000</v>
      </c>
      <c r="H27" s="135">
        <f t="shared" si="4"/>
        <v>0</v>
      </c>
      <c r="I27" s="135">
        <f t="shared" si="4"/>
        <v>0</v>
      </c>
      <c r="J27" s="135">
        <f t="shared" si="4"/>
        <v>0</v>
      </c>
      <c r="K27" s="135">
        <f>D27+E27+F27+G27+H27+I27+J27</f>
        <v>250000</v>
      </c>
    </row>
    <row r="28" spans="1:11" s="77" customFormat="1" x14ac:dyDescent="0.2">
      <c r="C28" s="150"/>
    </row>
    <row r="29" spans="1:11" s="77" customFormat="1" ht="28.5" x14ac:dyDescent="0.2">
      <c r="A29" s="139"/>
      <c r="B29" s="142" t="s">
        <v>46</v>
      </c>
      <c r="C29" s="143" t="s">
        <v>47</v>
      </c>
      <c r="D29" s="76" t="s">
        <v>9</v>
      </c>
      <c r="E29" s="76" t="s">
        <v>10</v>
      </c>
      <c r="F29" s="76" t="s">
        <v>11</v>
      </c>
      <c r="G29" s="76" t="s">
        <v>12</v>
      </c>
      <c r="H29" s="76" t="s">
        <v>13</v>
      </c>
      <c r="I29" s="76" t="s">
        <v>14</v>
      </c>
      <c r="J29" s="76" t="s">
        <v>15</v>
      </c>
      <c r="K29" s="138"/>
    </row>
    <row r="30" spans="1:11" s="77" customFormat="1" ht="15" x14ac:dyDescent="0.25">
      <c r="A30" s="144" t="s">
        <v>48</v>
      </c>
      <c r="B30" s="145" t="s">
        <v>21</v>
      </c>
      <c r="C30" s="146" t="s">
        <v>49</v>
      </c>
      <c r="D30" s="134" t="s">
        <v>20</v>
      </c>
      <c r="E30" s="134" t="s">
        <v>20</v>
      </c>
      <c r="F30" s="134">
        <v>0</v>
      </c>
      <c r="G30" s="134">
        <v>0</v>
      </c>
      <c r="H30" s="134" t="s">
        <v>20</v>
      </c>
      <c r="I30" s="134" t="s">
        <v>20</v>
      </c>
      <c r="J30" s="134" t="s">
        <v>20</v>
      </c>
      <c r="K30" s="134">
        <f>D30+E30+F30+G30+H30+I30+J30</f>
        <v>0</v>
      </c>
    </row>
    <row r="31" spans="1:11" s="77" customFormat="1" ht="15" x14ac:dyDescent="0.25">
      <c r="A31" s="147"/>
      <c r="B31" s="145" t="s">
        <v>23</v>
      </c>
      <c r="C31" s="146" t="s">
        <v>50</v>
      </c>
      <c r="D31" s="134" t="s">
        <v>20</v>
      </c>
      <c r="E31" s="134" t="s">
        <v>20</v>
      </c>
      <c r="F31" s="134">
        <f>3400+10000</f>
        <v>13400</v>
      </c>
      <c r="G31" s="134">
        <v>0</v>
      </c>
      <c r="H31" s="134" t="s">
        <v>20</v>
      </c>
      <c r="I31" s="134" t="s">
        <v>20</v>
      </c>
      <c r="J31" s="134" t="s">
        <v>20</v>
      </c>
      <c r="K31" s="134">
        <f>D31+E31+F31+G31+H31+I31+J31</f>
        <v>13400</v>
      </c>
    </row>
    <row r="32" spans="1:11" s="77" customFormat="1" ht="42.75" customHeight="1" x14ac:dyDescent="0.2">
      <c r="A32" s="75" t="s">
        <v>48</v>
      </c>
      <c r="B32" s="148"/>
      <c r="C32" s="149" t="s">
        <v>51</v>
      </c>
      <c r="D32" s="135">
        <f>SUM(D30:D31)</f>
        <v>0</v>
      </c>
      <c r="E32" s="135">
        <f t="shared" ref="E32:J32" si="5">SUM(E30:E31)</f>
        <v>0</v>
      </c>
      <c r="F32" s="135">
        <f t="shared" si="5"/>
        <v>13400</v>
      </c>
      <c r="G32" s="135">
        <f t="shared" si="5"/>
        <v>0</v>
      </c>
      <c r="H32" s="135">
        <f t="shared" si="5"/>
        <v>0</v>
      </c>
      <c r="I32" s="135">
        <f t="shared" si="5"/>
        <v>0</v>
      </c>
      <c r="J32" s="135">
        <f t="shared" si="5"/>
        <v>0</v>
      </c>
      <c r="K32" s="135">
        <f>D32+E32+F32+G32+H32+I32+J32</f>
        <v>13400</v>
      </c>
    </row>
    <row r="33" spans="1:11" s="77" customFormat="1" x14ac:dyDescent="0.2">
      <c r="C33" s="150"/>
    </row>
    <row r="34" spans="1:11" s="77" customFormat="1" x14ac:dyDescent="0.2">
      <c r="A34" s="139"/>
      <c r="B34" s="142" t="s">
        <v>33</v>
      </c>
      <c r="C34" s="143" t="s">
        <v>52</v>
      </c>
      <c r="D34" s="76" t="s">
        <v>9</v>
      </c>
      <c r="E34" s="76" t="s">
        <v>10</v>
      </c>
      <c r="F34" s="76" t="s">
        <v>11</v>
      </c>
      <c r="G34" s="76" t="s">
        <v>12</v>
      </c>
      <c r="H34" s="76" t="s">
        <v>13</v>
      </c>
      <c r="I34" s="76" t="s">
        <v>14</v>
      </c>
      <c r="J34" s="76" t="s">
        <v>15</v>
      </c>
      <c r="K34" s="138"/>
    </row>
    <row r="35" spans="1:11" s="77" customFormat="1" ht="15" x14ac:dyDescent="0.25">
      <c r="A35" s="144" t="s">
        <v>53</v>
      </c>
      <c r="B35" s="145" t="s">
        <v>21</v>
      </c>
      <c r="C35" s="146" t="s">
        <v>54</v>
      </c>
      <c r="D35" s="134" t="s">
        <v>20</v>
      </c>
      <c r="E35" s="134" t="s">
        <v>20</v>
      </c>
      <c r="F35" s="134" t="s">
        <v>20</v>
      </c>
      <c r="G35" s="134">
        <f>6000+10965</f>
        <v>16965</v>
      </c>
      <c r="H35" s="134" t="s">
        <v>20</v>
      </c>
      <c r="I35" s="134" t="s">
        <v>20</v>
      </c>
      <c r="J35" s="134" t="s">
        <v>20</v>
      </c>
      <c r="K35" s="134">
        <f>D35+E35+F35+G35+H35+I35+J35</f>
        <v>16965</v>
      </c>
    </row>
    <row r="36" spans="1:11" s="77" customFormat="1" ht="15" x14ac:dyDescent="0.2">
      <c r="A36" s="75" t="s">
        <v>53</v>
      </c>
      <c r="B36" s="148"/>
      <c r="C36" s="149" t="s">
        <v>55</v>
      </c>
      <c r="D36" s="135">
        <f>SUM(D35)</f>
        <v>0</v>
      </c>
      <c r="E36" s="135">
        <f t="shared" ref="E36:J36" si="6">SUM(E35)</f>
        <v>0</v>
      </c>
      <c r="F36" s="135">
        <f t="shared" si="6"/>
        <v>0</v>
      </c>
      <c r="G36" s="135">
        <f t="shared" si="6"/>
        <v>16965</v>
      </c>
      <c r="H36" s="135">
        <f t="shared" si="6"/>
        <v>0</v>
      </c>
      <c r="I36" s="135">
        <f t="shared" si="6"/>
        <v>0</v>
      </c>
      <c r="J36" s="135">
        <f t="shared" si="6"/>
        <v>0</v>
      </c>
      <c r="K36" s="135">
        <f>D36+E36+F36+G36+H36+I36+J36</f>
        <v>16965</v>
      </c>
    </row>
    <row r="37" spans="1:11" s="77" customFormat="1" x14ac:dyDescent="0.2">
      <c r="C37" s="150"/>
    </row>
    <row r="38" spans="1:11" s="77" customFormat="1" ht="28.5" x14ac:dyDescent="0.2">
      <c r="A38" s="139"/>
      <c r="B38" s="142" t="s">
        <v>56</v>
      </c>
      <c r="C38" s="143" t="s">
        <v>57</v>
      </c>
      <c r="D38" s="76" t="s">
        <v>9</v>
      </c>
      <c r="E38" s="76" t="s">
        <v>10</v>
      </c>
      <c r="F38" s="76" t="s">
        <v>11</v>
      </c>
      <c r="G38" s="76" t="s">
        <v>12</v>
      </c>
      <c r="H38" s="76" t="s">
        <v>13</v>
      </c>
      <c r="I38" s="76" t="s">
        <v>14</v>
      </c>
      <c r="J38" s="76" t="s">
        <v>15</v>
      </c>
      <c r="K38" s="138"/>
    </row>
    <row r="39" spans="1:11" s="77" customFormat="1" ht="31.5" customHeight="1" x14ac:dyDescent="0.2">
      <c r="A39" s="139"/>
      <c r="B39" s="145" t="s">
        <v>29</v>
      </c>
      <c r="C39" s="146" t="s">
        <v>218</v>
      </c>
      <c r="D39" s="134" t="s">
        <v>20</v>
      </c>
      <c r="E39" s="134" t="s">
        <v>20</v>
      </c>
      <c r="F39" s="134" t="s">
        <v>20</v>
      </c>
      <c r="G39" s="134">
        <v>0</v>
      </c>
      <c r="H39" s="134" t="s">
        <v>20</v>
      </c>
      <c r="I39" s="134" t="s">
        <v>20</v>
      </c>
      <c r="J39" s="134" t="s">
        <v>20</v>
      </c>
      <c r="K39" s="134">
        <f>D39+E39+F39+G39+H39+I39+J39</f>
        <v>0</v>
      </c>
    </row>
    <row r="40" spans="1:11" s="77" customFormat="1" ht="28.5" x14ac:dyDescent="0.25">
      <c r="A40" s="144" t="s">
        <v>58</v>
      </c>
      <c r="B40" s="145" t="s">
        <v>31</v>
      </c>
      <c r="C40" s="146" t="s">
        <v>59</v>
      </c>
      <c r="D40" s="134" t="s">
        <v>20</v>
      </c>
      <c r="E40" s="134" t="s">
        <v>20</v>
      </c>
      <c r="F40" s="134" t="s">
        <v>20</v>
      </c>
      <c r="G40" s="134">
        <f>5000+87725.55</f>
        <v>92725.55</v>
      </c>
      <c r="H40" s="134" t="s">
        <v>20</v>
      </c>
      <c r="I40" s="134" t="s">
        <v>20</v>
      </c>
      <c r="J40" s="134" t="s">
        <v>20</v>
      </c>
      <c r="K40" s="134">
        <f>D40+E40+F40+G40+H40+I40+J40</f>
        <v>92725.55</v>
      </c>
    </row>
    <row r="41" spans="1:11" s="77" customFormat="1" ht="28.5" x14ac:dyDescent="0.2">
      <c r="A41" s="75" t="s">
        <v>58</v>
      </c>
      <c r="B41" s="148"/>
      <c r="C41" s="149" t="s">
        <v>60</v>
      </c>
      <c r="D41" s="135">
        <f>SUM(D39:D40)</f>
        <v>0</v>
      </c>
      <c r="E41" s="135">
        <f t="shared" ref="E41:J41" si="7">SUM(E39:E40)</f>
        <v>0</v>
      </c>
      <c r="F41" s="135">
        <f t="shared" si="7"/>
        <v>0</v>
      </c>
      <c r="G41" s="135">
        <f t="shared" si="7"/>
        <v>92725.55</v>
      </c>
      <c r="H41" s="135">
        <f t="shared" si="7"/>
        <v>0</v>
      </c>
      <c r="I41" s="135">
        <f t="shared" si="7"/>
        <v>0</v>
      </c>
      <c r="J41" s="135">
        <f t="shared" si="7"/>
        <v>0</v>
      </c>
      <c r="K41" s="135">
        <f>D41+E41+F41+G41+H41+I41+J41</f>
        <v>92725.55</v>
      </c>
    </row>
    <row r="42" spans="1:11" s="77" customFormat="1" x14ac:dyDescent="0.2">
      <c r="C42" s="150"/>
    </row>
    <row r="43" spans="1:11" s="77" customFormat="1" ht="28.5" x14ac:dyDescent="0.2">
      <c r="A43" s="139"/>
      <c r="B43" s="142" t="s">
        <v>61</v>
      </c>
      <c r="C43" s="143" t="s">
        <v>62</v>
      </c>
      <c r="D43" s="76" t="s">
        <v>9</v>
      </c>
      <c r="E43" s="76" t="s">
        <v>10</v>
      </c>
      <c r="F43" s="76" t="s">
        <v>11</v>
      </c>
      <c r="G43" s="76" t="s">
        <v>12</v>
      </c>
      <c r="H43" s="76" t="s">
        <v>13</v>
      </c>
      <c r="I43" s="76" t="s">
        <v>14</v>
      </c>
      <c r="J43" s="76" t="s">
        <v>15</v>
      </c>
      <c r="K43" s="138"/>
    </row>
    <row r="44" spans="1:11" s="77" customFormat="1" ht="28.5" x14ac:dyDescent="0.25">
      <c r="A44" s="144" t="s">
        <v>63</v>
      </c>
      <c r="B44" s="145" t="s">
        <v>21</v>
      </c>
      <c r="C44" s="146" t="s">
        <v>64</v>
      </c>
      <c r="D44" s="134" t="s">
        <v>20</v>
      </c>
      <c r="E44" s="134" t="s">
        <v>20</v>
      </c>
      <c r="F44" s="134" t="s">
        <v>20</v>
      </c>
      <c r="G44" s="134">
        <f>50000+565.78</f>
        <v>50565.78</v>
      </c>
      <c r="H44" s="134" t="s">
        <v>20</v>
      </c>
      <c r="I44" s="134" t="s">
        <v>20</v>
      </c>
      <c r="J44" s="134" t="s">
        <v>20</v>
      </c>
      <c r="K44" s="134">
        <f>D44+E44+F44+G44+H44+I44+J44</f>
        <v>50565.78</v>
      </c>
    </row>
    <row r="45" spans="1:11" s="77" customFormat="1" ht="15" x14ac:dyDescent="0.25">
      <c r="A45" s="147"/>
      <c r="B45" s="145" t="s">
        <v>23</v>
      </c>
      <c r="C45" s="146" t="s">
        <v>65</v>
      </c>
      <c r="D45" s="134" t="s">
        <v>20</v>
      </c>
      <c r="E45" s="134" t="s">
        <v>20</v>
      </c>
      <c r="F45" s="134" t="s">
        <v>20</v>
      </c>
      <c r="G45" s="134">
        <v>100000</v>
      </c>
      <c r="H45" s="134" t="s">
        <v>20</v>
      </c>
      <c r="I45" s="134" t="s">
        <v>20</v>
      </c>
      <c r="J45" s="134" t="s">
        <v>20</v>
      </c>
      <c r="K45" s="134">
        <f>D45+E45+F45+G45+H45+I45+J45</f>
        <v>100000</v>
      </c>
    </row>
    <row r="46" spans="1:11" s="77" customFormat="1" ht="28.5" x14ac:dyDescent="0.2">
      <c r="A46" s="75" t="s">
        <v>63</v>
      </c>
      <c r="B46" s="148"/>
      <c r="C46" s="149" t="s">
        <v>66</v>
      </c>
      <c r="D46" s="135">
        <f>SUM(D44:D45)</f>
        <v>0</v>
      </c>
      <c r="E46" s="135">
        <f t="shared" ref="E46:J46" si="8">SUM(E44:E45)</f>
        <v>0</v>
      </c>
      <c r="F46" s="135">
        <f t="shared" si="8"/>
        <v>0</v>
      </c>
      <c r="G46" s="135">
        <f t="shared" si="8"/>
        <v>150565.78</v>
      </c>
      <c r="H46" s="135">
        <f t="shared" si="8"/>
        <v>0</v>
      </c>
      <c r="I46" s="135">
        <f t="shared" si="8"/>
        <v>0</v>
      </c>
      <c r="J46" s="135">
        <f t="shared" si="8"/>
        <v>0</v>
      </c>
      <c r="K46" s="135">
        <f>D46+E46+F46+G46+H46+I46+J46</f>
        <v>150565.78</v>
      </c>
    </row>
    <row r="47" spans="1:11" s="77" customFormat="1" ht="15" x14ac:dyDescent="0.2">
      <c r="A47" s="75"/>
      <c r="B47" s="151"/>
      <c r="C47" s="152"/>
      <c r="D47" s="78"/>
      <c r="E47" s="78"/>
      <c r="F47" s="78"/>
      <c r="G47" s="78"/>
      <c r="H47" s="78"/>
      <c r="I47" s="78"/>
      <c r="J47" s="78"/>
      <c r="K47" s="78"/>
    </row>
    <row r="48" spans="1:11" s="77" customFormat="1" ht="28.5" x14ac:dyDescent="0.2">
      <c r="A48" s="75"/>
      <c r="B48" s="142" t="s">
        <v>222</v>
      </c>
      <c r="C48" s="143" t="s">
        <v>223</v>
      </c>
      <c r="D48" s="76" t="s">
        <v>9</v>
      </c>
      <c r="E48" s="76" t="s">
        <v>10</v>
      </c>
      <c r="F48" s="76" t="s">
        <v>11</v>
      </c>
      <c r="G48" s="76" t="s">
        <v>12</v>
      </c>
      <c r="H48" s="76" t="s">
        <v>13</v>
      </c>
      <c r="I48" s="76" t="s">
        <v>14</v>
      </c>
      <c r="J48" s="76" t="s">
        <v>15</v>
      </c>
      <c r="K48" s="138"/>
    </row>
    <row r="49" spans="1:11" s="77" customFormat="1" x14ac:dyDescent="0.2">
      <c r="A49" s="75"/>
      <c r="B49" s="145" t="s">
        <v>21</v>
      </c>
      <c r="C49" s="146" t="s">
        <v>224</v>
      </c>
      <c r="D49" s="134" t="s">
        <v>20</v>
      </c>
      <c r="E49" s="134" t="s">
        <v>20</v>
      </c>
      <c r="F49" s="134" t="s">
        <v>20</v>
      </c>
      <c r="G49" s="134">
        <v>100000</v>
      </c>
      <c r="H49" s="134" t="s">
        <v>20</v>
      </c>
      <c r="I49" s="134" t="s">
        <v>20</v>
      </c>
      <c r="J49" s="134" t="s">
        <v>20</v>
      </c>
      <c r="K49" s="134">
        <f>D49+E49+F49+G49+H49+I49+J49</f>
        <v>100000</v>
      </c>
    </row>
    <row r="50" spans="1:11" s="77" customFormat="1" ht="28.5" x14ac:dyDescent="0.2">
      <c r="A50" s="75"/>
      <c r="B50" s="148"/>
      <c r="C50" s="149" t="s">
        <v>225</v>
      </c>
      <c r="D50" s="135">
        <f t="shared" ref="D50:J50" si="9">SUM(D48:D49)</f>
        <v>0</v>
      </c>
      <c r="E50" s="135">
        <f t="shared" si="9"/>
        <v>0</v>
      </c>
      <c r="F50" s="135">
        <f t="shared" si="9"/>
        <v>0</v>
      </c>
      <c r="G50" s="135">
        <f t="shared" si="9"/>
        <v>100000</v>
      </c>
      <c r="H50" s="135">
        <f t="shared" si="9"/>
        <v>0</v>
      </c>
      <c r="I50" s="135">
        <f t="shared" si="9"/>
        <v>0</v>
      </c>
      <c r="J50" s="135">
        <f t="shared" si="9"/>
        <v>0</v>
      </c>
      <c r="K50" s="135">
        <f>D50+E50+F50+G50+H50+I50+J50</f>
        <v>100000</v>
      </c>
    </row>
    <row r="51" spans="1:11" s="77" customFormat="1" ht="15" x14ac:dyDescent="0.2">
      <c r="A51" s="75"/>
      <c r="B51" s="151"/>
      <c r="C51" s="152"/>
      <c r="D51" s="78"/>
      <c r="E51" s="78"/>
      <c r="F51" s="78"/>
      <c r="G51" s="78"/>
      <c r="H51" s="78"/>
      <c r="I51" s="78"/>
      <c r="J51" s="78"/>
      <c r="K51" s="78"/>
    </row>
    <row r="52" spans="1:11" s="77" customFormat="1" ht="28.5" x14ac:dyDescent="0.2">
      <c r="A52" s="139"/>
      <c r="B52" s="142" t="s">
        <v>67</v>
      </c>
      <c r="C52" s="143" t="s">
        <v>68</v>
      </c>
      <c r="D52" s="76" t="s">
        <v>9</v>
      </c>
      <c r="E52" s="76" t="s">
        <v>10</v>
      </c>
      <c r="F52" s="76" t="s">
        <v>11</v>
      </c>
      <c r="G52" s="76" t="s">
        <v>12</v>
      </c>
      <c r="H52" s="76" t="s">
        <v>13</v>
      </c>
      <c r="I52" s="76" t="s">
        <v>14</v>
      </c>
      <c r="J52" s="76" t="s">
        <v>15</v>
      </c>
      <c r="K52" s="138"/>
    </row>
    <row r="53" spans="1:11" s="77" customFormat="1" ht="42.75" x14ac:dyDescent="0.25">
      <c r="A53" s="144" t="s">
        <v>69</v>
      </c>
      <c r="B53" s="145" t="s">
        <v>21</v>
      </c>
      <c r="C53" s="146" t="s">
        <v>70</v>
      </c>
      <c r="D53" s="134" t="s">
        <v>20</v>
      </c>
      <c r="E53" s="134" t="s">
        <v>20</v>
      </c>
      <c r="F53" s="134" t="s">
        <v>20</v>
      </c>
      <c r="G53" s="134">
        <v>62000</v>
      </c>
      <c r="H53" s="134" t="s">
        <v>20</v>
      </c>
      <c r="I53" s="134" t="s">
        <v>20</v>
      </c>
      <c r="J53" s="134" t="s">
        <v>20</v>
      </c>
      <c r="K53" s="134">
        <f>D53+E53+F53+G53+H53+I53+J53</f>
        <v>62000</v>
      </c>
    </row>
    <row r="54" spans="1:11" s="77" customFormat="1" ht="28.5" x14ac:dyDescent="0.2">
      <c r="A54" s="75" t="s">
        <v>69</v>
      </c>
      <c r="B54" s="148"/>
      <c r="C54" s="149" t="s">
        <v>71</v>
      </c>
      <c r="D54" s="135">
        <f t="shared" ref="D54:J54" si="10">SUM(D52:D53)</f>
        <v>0</v>
      </c>
      <c r="E54" s="135">
        <f t="shared" si="10"/>
        <v>0</v>
      </c>
      <c r="F54" s="135">
        <f t="shared" si="10"/>
        <v>0</v>
      </c>
      <c r="G54" s="135">
        <f t="shared" si="10"/>
        <v>62000</v>
      </c>
      <c r="H54" s="135">
        <f t="shared" si="10"/>
        <v>0</v>
      </c>
      <c r="I54" s="135">
        <f t="shared" si="10"/>
        <v>0</v>
      </c>
      <c r="J54" s="135">
        <f t="shared" si="10"/>
        <v>0</v>
      </c>
      <c r="K54" s="135">
        <f>D54+E54+F54+G54+H54+I54+J54</f>
        <v>62000</v>
      </c>
    </row>
    <row r="55" spans="1:11" s="77" customFormat="1" x14ac:dyDescent="0.2">
      <c r="C55" s="150"/>
    </row>
    <row r="56" spans="1:11" s="77" customFormat="1" x14ac:dyDescent="0.2">
      <c r="A56" s="139"/>
      <c r="B56" s="142" t="s">
        <v>72</v>
      </c>
      <c r="C56" s="143" t="s">
        <v>73</v>
      </c>
      <c r="D56" s="76" t="s">
        <v>9</v>
      </c>
      <c r="E56" s="76" t="s">
        <v>10</v>
      </c>
      <c r="F56" s="76" t="s">
        <v>11</v>
      </c>
      <c r="G56" s="76" t="s">
        <v>12</v>
      </c>
      <c r="H56" s="76" t="s">
        <v>13</v>
      </c>
      <c r="I56" s="76" t="s">
        <v>14</v>
      </c>
      <c r="J56" s="76" t="s">
        <v>15</v>
      </c>
      <c r="K56" s="138"/>
    </row>
    <row r="57" spans="1:11" s="77" customFormat="1" ht="15" x14ac:dyDescent="0.25">
      <c r="A57" s="144" t="s">
        <v>74</v>
      </c>
      <c r="B57" s="145" t="s">
        <v>17</v>
      </c>
      <c r="C57" s="146" t="s">
        <v>75</v>
      </c>
      <c r="D57" s="134" t="s">
        <v>20</v>
      </c>
      <c r="E57" s="134" t="s">
        <v>20</v>
      </c>
      <c r="F57" s="134" t="s">
        <v>20</v>
      </c>
      <c r="G57" s="134" t="s">
        <v>20</v>
      </c>
      <c r="H57" s="134" t="s">
        <v>20</v>
      </c>
      <c r="I57" s="134" t="s">
        <v>20</v>
      </c>
      <c r="J57" s="134">
        <f>134989.32-10000-17850</f>
        <v>107139.32</v>
      </c>
      <c r="K57" s="134">
        <f>D57+E57+F57+G57+H57+I57+J57</f>
        <v>107139.32</v>
      </c>
    </row>
    <row r="58" spans="1:11" s="77" customFormat="1" ht="15" x14ac:dyDescent="0.25">
      <c r="A58" s="147"/>
      <c r="B58" s="145" t="s">
        <v>21</v>
      </c>
      <c r="C58" s="146" t="s">
        <v>76</v>
      </c>
      <c r="D58" s="134" t="s">
        <v>20</v>
      </c>
      <c r="E58" s="134" t="s">
        <v>20</v>
      </c>
      <c r="F58" s="134" t="s">
        <v>20</v>
      </c>
      <c r="G58" s="134" t="s">
        <v>20</v>
      </c>
      <c r="H58" s="134" t="s">
        <v>20</v>
      </c>
      <c r="I58" s="134" t="s">
        <v>20</v>
      </c>
      <c r="J58" s="134">
        <v>0</v>
      </c>
      <c r="K58" s="134">
        <f>D58+E58+F58+G58+H58+I58+J58</f>
        <v>0</v>
      </c>
    </row>
    <row r="59" spans="1:11" s="77" customFormat="1" ht="15" x14ac:dyDescent="0.25">
      <c r="A59" s="147"/>
      <c r="B59" s="145" t="s">
        <v>23</v>
      </c>
      <c r="C59" s="146" t="s">
        <v>77</v>
      </c>
      <c r="D59" s="134" t="s">
        <v>20</v>
      </c>
      <c r="E59" s="134" t="s">
        <v>20</v>
      </c>
      <c r="F59" s="134" t="s">
        <v>20</v>
      </c>
      <c r="G59" s="134" t="s">
        <v>20</v>
      </c>
      <c r="H59" s="134" t="s">
        <v>20</v>
      </c>
      <c r="I59" s="134" t="s">
        <v>20</v>
      </c>
      <c r="J59" s="134">
        <f>5423010.87-100000+198445.53</f>
        <v>5521456.4000000004</v>
      </c>
      <c r="K59" s="134">
        <f>D59+E59+F59+G59+H59+I59+J59</f>
        <v>5521456.4000000004</v>
      </c>
    </row>
    <row r="60" spans="1:11" s="77" customFormat="1" ht="28.5" x14ac:dyDescent="0.2">
      <c r="A60" s="75" t="s">
        <v>74</v>
      </c>
      <c r="B60" s="148"/>
      <c r="C60" s="149" t="s">
        <v>78</v>
      </c>
      <c r="D60" s="135">
        <f>SUM(D57:D59)</f>
        <v>0</v>
      </c>
      <c r="E60" s="135">
        <f t="shared" ref="E60:J60" si="11">SUM(E57:E59)</f>
        <v>0</v>
      </c>
      <c r="F60" s="135">
        <f t="shared" si="11"/>
        <v>0</v>
      </c>
      <c r="G60" s="135">
        <f t="shared" si="11"/>
        <v>0</v>
      </c>
      <c r="H60" s="135">
        <f t="shared" si="11"/>
        <v>0</v>
      </c>
      <c r="I60" s="135">
        <f t="shared" si="11"/>
        <v>0</v>
      </c>
      <c r="J60" s="135">
        <f t="shared" si="11"/>
        <v>5628595.7200000007</v>
      </c>
      <c r="K60" s="135">
        <f>D60+E60+F60+G60+H60+I60+J60</f>
        <v>5628595.7200000007</v>
      </c>
    </row>
    <row r="61" spans="1:11" s="77" customFormat="1" x14ac:dyDescent="0.2">
      <c r="C61" s="150"/>
    </row>
    <row r="62" spans="1:11" s="77" customFormat="1" ht="15" x14ac:dyDescent="0.2">
      <c r="A62" s="153"/>
      <c r="B62" s="154"/>
      <c r="C62" s="155"/>
      <c r="D62" s="79"/>
      <c r="E62" s="79"/>
      <c r="F62" s="79"/>
      <c r="G62" s="79"/>
      <c r="H62" s="79"/>
      <c r="I62" s="79"/>
      <c r="J62" s="79"/>
      <c r="K62" s="79"/>
    </row>
    <row r="63" spans="1:11" s="77" customFormat="1" ht="20.25" customHeight="1" x14ac:dyDescent="0.2">
      <c r="A63" s="153"/>
      <c r="B63" s="251" t="s">
        <v>79</v>
      </c>
      <c r="C63" s="251"/>
      <c r="D63" s="136">
        <f>D60+D54+D46+D41+D36+D32+D27+D19+D14+D23+D50</f>
        <v>176264.5</v>
      </c>
      <c r="E63" s="136">
        <f t="shared" ref="E63:K63" si="12">E60+E54+E46+E41+E36+E32+E27+E19+E14+E23+E50</f>
        <v>1148809.44</v>
      </c>
      <c r="F63" s="136">
        <f t="shared" si="12"/>
        <v>13188966.259999998</v>
      </c>
      <c r="G63" s="136">
        <f t="shared" si="12"/>
        <v>9876107.120000001</v>
      </c>
      <c r="H63" s="136">
        <f t="shared" si="12"/>
        <v>500</v>
      </c>
      <c r="I63" s="136">
        <f t="shared" si="12"/>
        <v>164700.25</v>
      </c>
      <c r="J63" s="136">
        <f t="shared" si="12"/>
        <v>5747055.7300000004</v>
      </c>
      <c r="K63" s="136">
        <f t="shared" si="12"/>
        <v>30302403.300000001</v>
      </c>
    </row>
  </sheetData>
  <mergeCells count="3">
    <mergeCell ref="B2:C3"/>
    <mergeCell ref="B63:C63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5" fitToWidth="2" fitToHeight="2" orientation="landscape" r:id="rId1"/>
  <headerFooter alignWithMargins="0"/>
  <rowBreaks count="1" manualBreakCount="1">
    <brk id="3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68"/>
  <sheetViews>
    <sheetView zoomScale="70" zoomScaleNormal="70" zoomScaleSheetLayoutView="70" workbookViewId="0">
      <selection activeCell="A69" sqref="A69:IV76"/>
    </sheetView>
  </sheetViews>
  <sheetFormatPr defaultRowHeight="14.25" x14ac:dyDescent="0.2"/>
  <cols>
    <col min="1" max="1" width="5.5703125" style="81" customWidth="1"/>
    <col min="2" max="2" width="14.140625" style="81" customWidth="1"/>
    <col min="3" max="3" width="48.140625" style="80" customWidth="1"/>
    <col min="4" max="4" width="15.7109375" style="81" customWidth="1"/>
    <col min="5" max="5" width="18.85546875" style="81" customWidth="1"/>
    <col min="6" max="6" width="20.28515625" style="81" customWidth="1"/>
    <col min="7" max="7" width="19.28515625" style="81" customWidth="1"/>
    <col min="8" max="10" width="15.85546875" style="81" customWidth="1"/>
    <col min="11" max="11" width="21.140625" style="81" customWidth="1"/>
    <col min="12" max="12" width="30.28515625" style="3" customWidth="1"/>
    <col min="13" max="16384" width="9.140625" style="3"/>
  </cols>
  <sheetData>
    <row r="1" spans="1:12" s="1" customFormat="1" ht="45" customHeight="1" x14ac:dyDescent="0.2">
      <c r="A1" s="252" t="s">
        <v>81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"/>
    </row>
    <row r="2" spans="1:12" s="1" customFormat="1" ht="60" x14ac:dyDescent="0.2">
      <c r="A2" s="77"/>
      <c r="B2" s="250" t="s">
        <v>0</v>
      </c>
      <c r="C2" s="250"/>
      <c r="D2" s="74" t="s">
        <v>1</v>
      </c>
      <c r="E2" s="74" t="s">
        <v>2</v>
      </c>
      <c r="F2" s="74" t="s">
        <v>3</v>
      </c>
      <c r="G2" s="74" t="s">
        <v>4</v>
      </c>
      <c r="H2" s="74" t="s">
        <v>5</v>
      </c>
      <c r="I2" s="74" t="s">
        <v>6</v>
      </c>
      <c r="J2" s="74" t="s">
        <v>7</v>
      </c>
      <c r="K2" s="87" t="s">
        <v>8</v>
      </c>
    </row>
    <row r="3" spans="1:12" s="1" customFormat="1" ht="15" x14ac:dyDescent="0.2">
      <c r="A3" s="77"/>
      <c r="B3" s="250"/>
      <c r="C3" s="250"/>
      <c r="D3" s="87" t="s">
        <v>9</v>
      </c>
      <c r="E3" s="87" t="s">
        <v>10</v>
      </c>
      <c r="F3" s="87" t="s">
        <v>11</v>
      </c>
      <c r="G3" s="87" t="s">
        <v>12</v>
      </c>
      <c r="H3" s="87" t="s">
        <v>13</v>
      </c>
      <c r="I3" s="87" t="s">
        <v>14</v>
      </c>
      <c r="J3" s="87" t="s">
        <v>15</v>
      </c>
      <c r="K3" s="87" t="s">
        <v>16</v>
      </c>
    </row>
    <row r="4" spans="1:12" s="1" customFormat="1" x14ac:dyDescent="0.2">
      <c r="A4" s="139"/>
      <c r="B4" s="140"/>
      <c r="C4" s="141"/>
      <c r="D4" s="75" t="s">
        <v>1</v>
      </c>
      <c r="E4" s="75" t="s">
        <v>2</v>
      </c>
      <c r="F4" s="75" t="s">
        <v>3</v>
      </c>
      <c r="G4" s="75" t="s">
        <v>4</v>
      </c>
      <c r="H4" s="75" t="s">
        <v>5</v>
      </c>
      <c r="I4" s="75" t="s">
        <v>6</v>
      </c>
      <c r="J4" s="75" t="s">
        <v>7</v>
      </c>
      <c r="K4" s="137"/>
    </row>
    <row r="5" spans="1:12" s="1" customFormat="1" ht="28.5" x14ac:dyDescent="0.2">
      <c r="A5" s="139"/>
      <c r="B5" s="142" t="s">
        <v>17</v>
      </c>
      <c r="C5" s="143" t="s">
        <v>18</v>
      </c>
      <c r="D5" s="76" t="s">
        <v>9</v>
      </c>
      <c r="E5" s="76" t="s">
        <v>10</v>
      </c>
      <c r="F5" s="76" t="s">
        <v>11</v>
      </c>
      <c r="G5" s="76" t="s">
        <v>12</v>
      </c>
      <c r="H5" s="76" t="s">
        <v>13</v>
      </c>
      <c r="I5" s="76" t="s">
        <v>14</v>
      </c>
      <c r="J5" s="76" t="s">
        <v>15</v>
      </c>
      <c r="K5" s="138"/>
    </row>
    <row r="6" spans="1:12" s="1" customFormat="1" ht="15" x14ac:dyDescent="0.25">
      <c r="A6" s="144" t="s">
        <v>16</v>
      </c>
      <c r="B6" s="145" t="s">
        <v>17</v>
      </c>
      <c r="C6" s="146" t="s">
        <v>19</v>
      </c>
      <c r="D6" s="134" t="s">
        <v>20</v>
      </c>
      <c r="E6" s="134">
        <v>932269.68</v>
      </c>
      <c r="F6" s="134">
        <f>7786885.8-1000+15000-14300</f>
        <v>7786585.7999999998</v>
      </c>
      <c r="G6" s="134">
        <f>7334100+1000+35000+14300</f>
        <v>7384400</v>
      </c>
      <c r="H6" s="134" t="s">
        <v>20</v>
      </c>
      <c r="I6" s="134" t="s">
        <v>20</v>
      </c>
      <c r="J6" s="134">
        <v>2000</v>
      </c>
      <c r="K6" s="134">
        <f t="shared" ref="K6:K12" si="0">D6+E6+F6+G6+H6+I6+J6</f>
        <v>16105255.48</v>
      </c>
    </row>
    <row r="7" spans="1:12" s="1" customFormat="1" ht="15" x14ac:dyDescent="0.25">
      <c r="A7" s="147"/>
      <c r="B7" s="145" t="s">
        <v>21</v>
      </c>
      <c r="C7" s="146" t="s">
        <v>22</v>
      </c>
      <c r="D7" s="134" t="s">
        <v>20</v>
      </c>
      <c r="E7" s="134" t="s">
        <v>20</v>
      </c>
      <c r="F7" s="134">
        <v>26090</v>
      </c>
      <c r="G7" s="134" t="s">
        <v>20</v>
      </c>
      <c r="H7" s="134" t="s">
        <v>20</v>
      </c>
      <c r="I7" s="134" t="s">
        <v>20</v>
      </c>
      <c r="J7" s="134" t="s">
        <v>20</v>
      </c>
      <c r="K7" s="134">
        <f t="shared" si="0"/>
        <v>26090</v>
      </c>
    </row>
    <row r="8" spans="1:12" s="1" customFormat="1" ht="28.5" x14ac:dyDescent="0.25">
      <c r="A8" s="147"/>
      <c r="B8" s="145" t="s">
        <v>23</v>
      </c>
      <c r="C8" s="146" t="s">
        <v>24</v>
      </c>
      <c r="D8" s="134">
        <f>253100.7-4700</f>
        <v>248400.7</v>
      </c>
      <c r="E8" s="134">
        <v>10700</v>
      </c>
      <c r="F8" s="134">
        <f>2429026.26+23500+4700</f>
        <v>2457226.2599999998</v>
      </c>
      <c r="G8" s="134" t="s">
        <v>20</v>
      </c>
      <c r="H8" s="134" t="s">
        <v>20</v>
      </c>
      <c r="I8" s="134" t="s">
        <v>20</v>
      </c>
      <c r="J8" s="134">
        <v>106860.01</v>
      </c>
      <c r="K8" s="134">
        <f t="shared" si="0"/>
        <v>2823186.9699999997</v>
      </c>
    </row>
    <row r="9" spans="1:12" s="1" customFormat="1" ht="15" x14ac:dyDescent="0.25">
      <c r="A9" s="147"/>
      <c r="B9" s="145" t="s">
        <v>25</v>
      </c>
      <c r="C9" s="146" t="s">
        <v>26</v>
      </c>
      <c r="D9" s="134" t="s">
        <v>20</v>
      </c>
      <c r="E9" s="134">
        <v>210180</v>
      </c>
      <c r="F9" s="134">
        <v>26860</v>
      </c>
      <c r="G9" s="134" t="s">
        <v>20</v>
      </c>
      <c r="H9" s="134" t="s">
        <v>20</v>
      </c>
      <c r="I9" s="134" t="s">
        <v>20</v>
      </c>
      <c r="J9" s="134">
        <v>6000</v>
      </c>
      <c r="K9" s="134">
        <f t="shared" si="0"/>
        <v>243040</v>
      </c>
    </row>
    <row r="10" spans="1:12" s="1" customFormat="1" ht="15" x14ac:dyDescent="0.25">
      <c r="A10" s="147"/>
      <c r="B10" s="145" t="s">
        <v>27</v>
      </c>
      <c r="C10" s="146" t="s">
        <v>28</v>
      </c>
      <c r="D10" s="134" t="s">
        <v>20</v>
      </c>
      <c r="E10" s="134" t="s">
        <v>20</v>
      </c>
      <c r="F10" s="134">
        <v>370200</v>
      </c>
      <c r="G10" s="134" t="s">
        <v>20</v>
      </c>
      <c r="H10" s="134" t="s">
        <v>20</v>
      </c>
      <c r="I10" s="134" t="s">
        <v>20</v>
      </c>
      <c r="J10" s="134">
        <v>0</v>
      </c>
      <c r="K10" s="134">
        <f t="shared" si="0"/>
        <v>370200</v>
      </c>
    </row>
    <row r="11" spans="1:12" s="1" customFormat="1" ht="15" x14ac:dyDescent="0.25">
      <c r="A11" s="147"/>
      <c r="B11" s="145" t="s">
        <v>29</v>
      </c>
      <c r="C11" s="146" t="s">
        <v>30</v>
      </c>
      <c r="D11" s="134" t="s">
        <v>20</v>
      </c>
      <c r="E11" s="134" t="s">
        <v>20</v>
      </c>
      <c r="F11" s="134">
        <v>1058074.17</v>
      </c>
      <c r="G11" s="134" t="s">
        <v>20</v>
      </c>
      <c r="H11" s="134" t="s">
        <v>20</v>
      </c>
      <c r="I11" s="134" t="s">
        <v>20</v>
      </c>
      <c r="J11" s="134">
        <v>0</v>
      </c>
      <c r="K11" s="134">
        <f t="shared" si="0"/>
        <v>1058074.17</v>
      </c>
    </row>
    <row r="12" spans="1:12" s="1" customFormat="1" ht="15" x14ac:dyDescent="0.25">
      <c r="A12" s="147"/>
      <c r="B12" s="145" t="s">
        <v>31</v>
      </c>
      <c r="C12" s="146" t="s">
        <v>32</v>
      </c>
      <c r="D12" s="134">
        <v>630</v>
      </c>
      <c r="E12" s="134">
        <v>5120</v>
      </c>
      <c r="F12" s="134">
        <v>90300</v>
      </c>
      <c r="G12" s="134" t="s">
        <v>20</v>
      </c>
      <c r="H12" s="134" t="s">
        <v>20</v>
      </c>
      <c r="I12" s="134">
        <v>131176.07</v>
      </c>
      <c r="J12" s="134" t="s">
        <v>20</v>
      </c>
      <c r="K12" s="134">
        <f t="shared" si="0"/>
        <v>227226.07</v>
      </c>
    </row>
    <row r="13" spans="1:12" s="1" customFormat="1" ht="15" x14ac:dyDescent="0.25">
      <c r="A13" s="147"/>
      <c r="B13" s="145" t="s">
        <v>33</v>
      </c>
      <c r="C13" s="146" t="s">
        <v>34</v>
      </c>
      <c r="D13" s="134" t="s">
        <v>20</v>
      </c>
      <c r="E13" s="134">
        <v>0</v>
      </c>
      <c r="F13" s="134">
        <v>5500</v>
      </c>
      <c r="G13" s="134">
        <v>22700</v>
      </c>
      <c r="H13" s="134">
        <v>500</v>
      </c>
      <c r="I13" s="134" t="s">
        <v>20</v>
      </c>
      <c r="J13" s="134">
        <v>3600</v>
      </c>
      <c r="K13" s="134">
        <f>D13+E13+F13+G13+H13+I13+J13</f>
        <v>32300</v>
      </c>
    </row>
    <row r="14" spans="1:12" s="1" customFormat="1" ht="28.5" x14ac:dyDescent="0.2">
      <c r="A14" s="75" t="s">
        <v>16</v>
      </c>
      <c r="B14" s="148"/>
      <c r="C14" s="149" t="s">
        <v>35</v>
      </c>
      <c r="D14" s="135">
        <f>SUM(D6:D13)</f>
        <v>249030.7</v>
      </c>
      <c r="E14" s="135">
        <f t="shared" ref="E14:J14" si="1">SUM(E6:E13)</f>
        <v>1158269.6800000002</v>
      </c>
      <c r="F14" s="135">
        <f t="shared" si="1"/>
        <v>11820836.229999999</v>
      </c>
      <c r="G14" s="135">
        <f t="shared" si="1"/>
        <v>7407100</v>
      </c>
      <c r="H14" s="135">
        <f t="shared" si="1"/>
        <v>500</v>
      </c>
      <c r="I14" s="135">
        <f t="shared" si="1"/>
        <v>131176.07</v>
      </c>
      <c r="J14" s="135">
        <f t="shared" si="1"/>
        <v>118460.01</v>
      </c>
      <c r="K14" s="135">
        <f>D14+E14+F14+G14+H14+I14+J14</f>
        <v>20885372.690000001</v>
      </c>
    </row>
    <row r="15" spans="1:12" s="1" customFormat="1" x14ac:dyDescent="0.2">
      <c r="A15" s="77"/>
      <c r="B15" s="77"/>
      <c r="C15" s="150"/>
      <c r="D15" s="77"/>
      <c r="E15" s="77"/>
      <c r="F15" s="77"/>
      <c r="G15" s="77"/>
      <c r="H15" s="77"/>
      <c r="I15" s="77"/>
      <c r="J15" s="77"/>
      <c r="K15" s="77"/>
    </row>
    <row r="16" spans="1:12" s="1" customFormat="1" x14ac:dyDescent="0.2">
      <c r="A16" s="139"/>
      <c r="B16" s="140"/>
      <c r="C16" s="141"/>
      <c r="D16" s="75" t="s">
        <v>1</v>
      </c>
      <c r="E16" s="75" t="s">
        <v>2</v>
      </c>
      <c r="F16" s="75" t="s">
        <v>3</v>
      </c>
      <c r="G16" s="75" t="s">
        <v>4</v>
      </c>
      <c r="H16" s="75" t="s">
        <v>5</v>
      </c>
      <c r="I16" s="75" t="s">
        <v>6</v>
      </c>
      <c r="J16" s="75" t="s">
        <v>7</v>
      </c>
      <c r="K16" s="137"/>
    </row>
    <row r="17" spans="1:11" s="1" customFormat="1" ht="28.5" x14ac:dyDescent="0.2">
      <c r="A17" s="139"/>
      <c r="B17" s="142" t="s">
        <v>25</v>
      </c>
      <c r="C17" s="143" t="s">
        <v>36</v>
      </c>
      <c r="D17" s="76" t="s">
        <v>9</v>
      </c>
      <c r="E17" s="76" t="s">
        <v>10</v>
      </c>
      <c r="F17" s="76" t="s">
        <v>11</v>
      </c>
      <c r="G17" s="76" t="s">
        <v>12</v>
      </c>
      <c r="H17" s="76" t="s">
        <v>13</v>
      </c>
      <c r="I17" s="76" t="s">
        <v>14</v>
      </c>
      <c r="J17" s="76" t="s">
        <v>15</v>
      </c>
      <c r="K17" s="138"/>
    </row>
    <row r="18" spans="1:11" s="1" customFormat="1" ht="15" x14ac:dyDescent="0.25">
      <c r="A18" s="144" t="s">
        <v>37</v>
      </c>
      <c r="B18" s="145" t="s">
        <v>17</v>
      </c>
      <c r="C18" s="146" t="s">
        <v>38</v>
      </c>
      <c r="D18" s="134" t="s">
        <v>20</v>
      </c>
      <c r="E18" s="134" t="s">
        <v>20</v>
      </c>
      <c r="F18" s="134" t="s">
        <v>20</v>
      </c>
      <c r="G18" s="134" t="s">
        <v>20</v>
      </c>
      <c r="H18" s="134" t="s">
        <v>20</v>
      </c>
      <c r="I18" s="134" t="s">
        <v>20</v>
      </c>
      <c r="J18" s="134">
        <v>0</v>
      </c>
      <c r="K18" s="134">
        <f>D18+E18+F18+G18+H18+I18+J18</f>
        <v>0</v>
      </c>
    </row>
    <row r="19" spans="1:11" s="1" customFormat="1" ht="28.5" x14ac:dyDescent="0.25">
      <c r="A19" s="147"/>
      <c r="B19" s="145" t="s">
        <v>21</v>
      </c>
      <c r="C19" s="146" t="s">
        <v>39</v>
      </c>
      <c r="D19" s="134" t="s">
        <v>20</v>
      </c>
      <c r="E19" s="134" t="s">
        <v>20</v>
      </c>
      <c r="F19" s="134">
        <v>623211.31000000006</v>
      </c>
      <c r="G19" s="134">
        <v>644500</v>
      </c>
      <c r="H19" s="134" t="s">
        <v>20</v>
      </c>
      <c r="I19" s="134" t="s">
        <v>20</v>
      </c>
      <c r="J19" s="134">
        <v>0</v>
      </c>
      <c r="K19" s="134">
        <f>D19+E19+F19+G19+H19+I19+J19</f>
        <v>1267711.31</v>
      </c>
    </row>
    <row r="20" spans="1:11" s="1" customFormat="1" ht="42.75" x14ac:dyDescent="0.2">
      <c r="A20" s="75" t="s">
        <v>37</v>
      </c>
      <c r="B20" s="148"/>
      <c r="C20" s="149" t="s">
        <v>40</v>
      </c>
      <c r="D20" s="135">
        <f>SUM(D18:D19)</f>
        <v>0</v>
      </c>
      <c r="E20" s="135">
        <f t="shared" ref="E20:J20" si="2">SUM(E18:E19)</f>
        <v>0</v>
      </c>
      <c r="F20" s="135">
        <f t="shared" si="2"/>
        <v>623211.31000000006</v>
      </c>
      <c r="G20" s="135">
        <f t="shared" si="2"/>
        <v>644500</v>
      </c>
      <c r="H20" s="135">
        <f t="shared" si="2"/>
        <v>0</v>
      </c>
      <c r="I20" s="135">
        <f t="shared" si="2"/>
        <v>0</v>
      </c>
      <c r="J20" s="135">
        <f t="shared" si="2"/>
        <v>0</v>
      </c>
      <c r="K20" s="135">
        <f>D20+E20+F20+G20+H20+I20+J20</f>
        <v>1267711.31</v>
      </c>
    </row>
    <row r="21" spans="1:11" s="1" customFormat="1" ht="15" x14ac:dyDescent="0.2">
      <c r="A21" s="75"/>
      <c r="B21" s="151"/>
      <c r="C21" s="152"/>
      <c r="D21" s="78"/>
      <c r="E21" s="78"/>
      <c r="F21" s="78"/>
      <c r="G21" s="78"/>
      <c r="H21" s="78"/>
      <c r="I21" s="78"/>
      <c r="J21" s="78"/>
      <c r="K21" s="78"/>
    </row>
    <row r="22" spans="1:11" s="1" customFormat="1" ht="28.5" x14ac:dyDescent="0.2">
      <c r="A22" s="139"/>
      <c r="B22" s="142" t="s">
        <v>27</v>
      </c>
      <c r="C22" s="143" t="s">
        <v>220</v>
      </c>
      <c r="D22" s="76" t="s">
        <v>9</v>
      </c>
      <c r="E22" s="76" t="s">
        <v>10</v>
      </c>
      <c r="F22" s="76" t="s">
        <v>11</v>
      </c>
      <c r="G22" s="76" t="s">
        <v>12</v>
      </c>
      <c r="H22" s="76" t="s">
        <v>13</v>
      </c>
      <c r="I22" s="76" t="s">
        <v>14</v>
      </c>
      <c r="J22" s="76" t="s">
        <v>15</v>
      </c>
      <c r="K22" s="138"/>
    </row>
    <row r="23" spans="1:11" s="1" customFormat="1" ht="28.5" customHeight="1" x14ac:dyDescent="0.25">
      <c r="A23" s="144" t="s">
        <v>37</v>
      </c>
      <c r="B23" s="145" t="s">
        <v>17</v>
      </c>
      <c r="C23" s="146" t="s">
        <v>219</v>
      </c>
      <c r="D23" s="134" t="s">
        <v>20</v>
      </c>
      <c r="E23" s="134" t="s">
        <v>20</v>
      </c>
      <c r="F23" s="134" t="s">
        <v>20</v>
      </c>
      <c r="G23" s="134" t="s">
        <v>20</v>
      </c>
      <c r="H23" s="134" t="s">
        <v>20</v>
      </c>
      <c r="I23" s="134" t="s">
        <v>20</v>
      </c>
      <c r="J23" s="134">
        <v>0</v>
      </c>
      <c r="K23" s="134">
        <f>D23+E23+F23+G23+H23+I23+J23</f>
        <v>0</v>
      </c>
    </row>
    <row r="24" spans="1:11" s="1" customFormat="1" ht="28.5" x14ac:dyDescent="0.2">
      <c r="A24" s="75" t="s">
        <v>37</v>
      </c>
      <c r="B24" s="148"/>
      <c r="C24" s="149" t="s">
        <v>221</v>
      </c>
      <c r="D24" s="135">
        <f>SUM(D23)</f>
        <v>0</v>
      </c>
      <c r="E24" s="135">
        <f t="shared" ref="E24:K24" si="3">SUM(E23)</f>
        <v>0</v>
      </c>
      <c r="F24" s="135">
        <f t="shared" si="3"/>
        <v>0</v>
      </c>
      <c r="G24" s="135">
        <f t="shared" si="3"/>
        <v>0</v>
      </c>
      <c r="H24" s="135">
        <f t="shared" si="3"/>
        <v>0</v>
      </c>
      <c r="I24" s="135">
        <f t="shared" si="3"/>
        <v>0</v>
      </c>
      <c r="J24" s="135">
        <f t="shared" si="3"/>
        <v>0</v>
      </c>
      <c r="K24" s="135">
        <f t="shared" si="3"/>
        <v>0</v>
      </c>
    </row>
    <row r="25" spans="1:11" s="1" customFormat="1" ht="15" x14ac:dyDescent="0.2">
      <c r="A25" s="75"/>
      <c r="B25" s="151"/>
      <c r="C25" s="152"/>
      <c r="D25" s="78"/>
      <c r="E25" s="78"/>
      <c r="F25" s="78"/>
      <c r="G25" s="78"/>
      <c r="H25" s="78"/>
      <c r="I25" s="78"/>
      <c r="J25" s="78"/>
      <c r="K25" s="78"/>
    </row>
    <row r="26" spans="1:11" s="1" customFormat="1" x14ac:dyDescent="0.2">
      <c r="A26" s="139"/>
      <c r="B26" s="142" t="s">
        <v>41</v>
      </c>
      <c r="C26" s="143" t="s">
        <v>42</v>
      </c>
      <c r="D26" s="76" t="s">
        <v>9</v>
      </c>
      <c r="E26" s="76" t="s">
        <v>10</v>
      </c>
      <c r="F26" s="76" t="s">
        <v>11</v>
      </c>
      <c r="G26" s="76" t="s">
        <v>12</v>
      </c>
      <c r="H26" s="76" t="s">
        <v>13</v>
      </c>
      <c r="I26" s="76" t="s">
        <v>14</v>
      </c>
      <c r="J26" s="76" t="s">
        <v>15</v>
      </c>
      <c r="K26" s="138"/>
    </row>
    <row r="27" spans="1:11" s="1" customFormat="1" ht="15" x14ac:dyDescent="0.25">
      <c r="A27" s="144" t="s">
        <v>43</v>
      </c>
      <c r="B27" s="145" t="s">
        <v>17</v>
      </c>
      <c r="C27" s="146" t="s">
        <v>44</v>
      </c>
      <c r="D27" s="134" t="s">
        <v>20</v>
      </c>
      <c r="E27" s="134" t="s">
        <v>20</v>
      </c>
      <c r="F27" s="134" t="s">
        <v>20</v>
      </c>
      <c r="G27" s="134">
        <v>0</v>
      </c>
      <c r="H27" s="134" t="s">
        <v>20</v>
      </c>
      <c r="I27" s="134" t="s">
        <v>20</v>
      </c>
      <c r="J27" s="134" t="s">
        <v>20</v>
      </c>
      <c r="K27" s="134">
        <f>D27+E27+F27+G27+H27+I27+J27</f>
        <v>0</v>
      </c>
    </row>
    <row r="28" spans="1:11" s="1" customFormat="1" ht="15" x14ac:dyDescent="0.2">
      <c r="A28" s="75" t="s">
        <v>43</v>
      </c>
      <c r="B28" s="148"/>
      <c r="C28" s="149" t="s">
        <v>45</v>
      </c>
      <c r="D28" s="135">
        <f>SUM(D27)</f>
        <v>0</v>
      </c>
      <c r="E28" s="135">
        <f t="shared" ref="E28:J28" si="4">SUM(E27)</f>
        <v>0</v>
      </c>
      <c r="F28" s="135">
        <f t="shared" si="4"/>
        <v>0</v>
      </c>
      <c r="G28" s="135">
        <f t="shared" si="4"/>
        <v>0</v>
      </c>
      <c r="H28" s="135">
        <f t="shared" si="4"/>
        <v>0</v>
      </c>
      <c r="I28" s="135">
        <f t="shared" si="4"/>
        <v>0</v>
      </c>
      <c r="J28" s="135">
        <f t="shared" si="4"/>
        <v>0</v>
      </c>
      <c r="K28" s="135">
        <f>D28+E28+F28+G28+H28+I28+J28</f>
        <v>0</v>
      </c>
    </row>
    <row r="29" spans="1:11" s="1" customFormat="1" x14ac:dyDescent="0.2">
      <c r="A29" s="77"/>
      <c r="B29" s="77"/>
      <c r="C29" s="150"/>
      <c r="D29" s="77"/>
      <c r="E29" s="77"/>
      <c r="F29" s="77"/>
      <c r="G29" s="77"/>
      <c r="H29" s="77"/>
      <c r="I29" s="77"/>
      <c r="J29" s="77"/>
      <c r="K29" s="77"/>
    </row>
    <row r="30" spans="1:11" s="1" customFormat="1" x14ac:dyDescent="0.2">
      <c r="A30" s="139"/>
      <c r="B30" s="140"/>
      <c r="C30" s="141"/>
      <c r="D30" s="75" t="s">
        <v>1</v>
      </c>
      <c r="E30" s="75" t="s">
        <v>2</v>
      </c>
      <c r="F30" s="75" t="s">
        <v>3</v>
      </c>
      <c r="G30" s="75" t="s">
        <v>4</v>
      </c>
      <c r="H30" s="75" t="s">
        <v>5</v>
      </c>
      <c r="I30" s="75" t="s">
        <v>6</v>
      </c>
      <c r="J30" s="75" t="s">
        <v>7</v>
      </c>
      <c r="K30" s="137"/>
    </row>
    <row r="31" spans="1:11" s="1" customFormat="1" ht="28.5" x14ac:dyDescent="0.2">
      <c r="A31" s="139"/>
      <c r="B31" s="142" t="s">
        <v>46</v>
      </c>
      <c r="C31" s="143" t="s">
        <v>47</v>
      </c>
      <c r="D31" s="76" t="s">
        <v>9</v>
      </c>
      <c r="E31" s="76" t="s">
        <v>10</v>
      </c>
      <c r="F31" s="76" t="s">
        <v>11</v>
      </c>
      <c r="G31" s="76" t="s">
        <v>12</v>
      </c>
      <c r="H31" s="76" t="s">
        <v>13</v>
      </c>
      <c r="I31" s="76" t="s">
        <v>14</v>
      </c>
      <c r="J31" s="76" t="s">
        <v>15</v>
      </c>
      <c r="K31" s="138"/>
    </row>
    <row r="32" spans="1:11" s="1" customFormat="1" ht="15" x14ac:dyDescent="0.25">
      <c r="A32" s="144" t="s">
        <v>48</v>
      </c>
      <c r="B32" s="145" t="s">
        <v>21</v>
      </c>
      <c r="C32" s="146" t="s">
        <v>49</v>
      </c>
      <c r="D32" s="134" t="s">
        <v>20</v>
      </c>
      <c r="E32" s="134" t="s">
        <v>20</v>
      </c>
      <c r="F32" s="134" t="s">
        <v>20</v>
      </c>
      <c r="G32" s="134">
        <v>0</v>
      </c>
      <c r="H32" s="134" t="s">
        <v>20</v>
      </c>
      <c r="I32" s="134" t="s">
        <v>20</v>
      </c>
      <c r="J32" s="134" t="s">
        <v>20</v>
      </c>
      <c r="K32" s="134">
        <f>D32+E32+F32+G32+H32+I32+J32</f>
        <v>0</v>
      </c>
    </row>
    <row r="33" spans="1:11" s="1" customFormat="1" ht="15" x14ac:dyDescent="0.25">
      <c r="A33" s="147"/>
      <c r="B33" s="145" t="s">
        <v>23</v>
      </c>
      <c r="C33" s="146" t="s">
        <v>50</v>
      </c>
      <c r="D33" s="134" t="s">
        <v>20</v>
      </c>
      <c r="E33" s="134" t="s">
        <v>20</v>
      </c>
      <c r="F33" s="134">
        <v>3400</v>
      </c>
      <c r="G33" s="134">
        <v>0</v>
      </c>
      <c r="H33" s="134" t="s">
        <v>20</v>
      </c>
      <c r="I33" s="134" t="s">
        <v>20</v>
      </c>
      <c r="J33" s="134" t="s">
        <v>20</v>
      </c>
      <c r="K33" s="134">
        <f>D33+E33+F33+G33+H33+I33+J33</f>
        <v>3400</v>
      </c>
    </row>
    <row r="34" spans="1:11" s="1" customFormat="1" ht="41.25" customHeight="1" x14ac:dyDescent="0.2">
      <c r="A34" s="75" t="s">
        <v>48</v>
      </c>
      <c r="B34" s="148"/>
      <c r="C34" s="149" t="s">
        <v>51</v>
      </c>
      <c r="D34" s="135">
        <f>SUM(D32:D33)</f>
        <v>0</v>
      </c>
      <c r="E34" s="135">
        <f t="shared" ref="E34:J34" si="5">SUM(E32:E33)</f>
        <v>0</v>
      </c>
      <c r="F34" s="135">
        <f t="shared" si="5"/>
        <v>3400</v>
      </c>
      <c r="G34" s="135">
        <f t="shared" si="5"/>
        <v>0</v>
      </c>
      <c r="H34" s="135">
        <f t="shared" si="5"/>
        <v>0</v>
      </c>
      <c r="I34" s="135">
        <f t="shared" si="5"/>
        <v>0</v>
      </c>
      <c r="J34" s="135">
        <f t="shared" si="5"/>
        <v>0</v>
      </c>
      <c r="K34" s="135">
        <f>D34+E34+F34+G34+H34+I34+J34</f>
        <v>3400</v>
      </c>
    </row>
    <row r="35" spans="1:11" s="1" customFormat="1" x14ac:dyDescent="0.2">
      <c r="A35" s="77"/>
      <c r="B35" s="77"/>
      <c r="C35" s="150"/>
      <c r="D35" s="77"/>
      <c r="E35" s="77"/>
      <c r="F35" s="77"/>
      <c r="G35" s="77"/>
      <c r="H35" s="77"/>
      <c r="I35" s="77"/>
      <c r="J35" s="77"/>
      <c r="K35" s="77"/>
    </row>
    <row r="36" spans="1:11" s="1" customFormat="1" x14ac:dyDescent="0.2">
      <c r="A36" s="139"/>
      <c r="B36" s="140"/>
      <c r="C36" s="141"/>
      <c r="D36" s="75" t="s">
        <v>1</v>
      </c>
      <c r="E36" s="75" t="s">
        <v>2</v>
      </c>
      <c r="F36" s="75" t="s">
        <v>3</v>
      </c>
      <c r="G36" s="75" t="s">
        <v>4</v>
      </c>
      <c r="H36" s="75" t="s">
        <v>5</v>
      </c>
      <c r="I36" s="75" t="s">
        <v>6</v>
      </c>
      <c r="J36" s="75" t="s">
        <v>7</v>
      </c>
      <c r="K36" s="137"/>
    </row>
    <row r="37" spans="1:11" s="1" customFormat="1" x14ac:dyDescent="0.2">
      <c r="A37" s="139"/>
      <c r="B37" s="142" t="s">
        <v>33</v>
      </c>
      <c r="C37" s="143" t="s">
        <v>52</v>
      </c>
      <c r="D37" s="76" t="s">
        <v>9</v>
      </c>
      <c r="E37" s="76" t="s">
        <v>10</v>
      </c>
      <c r="F37" s="76" t="s">
        <v>11</v>
      </c>
      <c r="G37" s="76" t="s">
        <v>12</v>
      </c>
      <c r="H37" s="76" t="s">
        <v>13</v>
      </c>
      <c r="I37" s="76" t="s">
        <v>14</v>
      </c>
      <c r="J37" s="76" t="s">
        <v>15</v>
      </c>
      <c r="K37" s="138"/>
    </row>
    <row r="38" spans="1:11" s="1" customFormat="1" ht="15" x14ac:dyDescent="0.25">
      <c r="A38" s="144" t="s">
        <v>53</v>
      </c>
      <c r="B38" s="145" t="s">
        <v>21</v>
      </c>
      <c r="C38" s="146" t="s">
        <v>54</v>
      </c>
      <c r="D38" s="134" t="s">
        <v>20</v>
      </c>
      <c r="E38" s="134" t="s">
        <v>20</v>
      </c>
      <c r="F38" s="134" t="s">
        <v>20</v>
      </c>
      <c r="G38" s="134">
        <v>6000</v>
      </c>
      <c r="H38" s="134" t="s">
        <v>20</v>
      </c>
      <c r="I38" s="134" t="s">
        <v>20</v>
      </c>
      <c r="J38" s="134" t="s">
        <v>20</v>
      </c>
      <c r="K38" s="134">
        <f>D38+E38+F38+G38+H38+I38+J38</f>
        <v>6000</v>
      </c>
    </row>
    <row r="39" spans="1:11" s="1" customFormat="1" ht="15" x14ac:dyDescent="0.2">
      <c r="A39" s="75" t="s">
        <v>53</v>
      </c>
      <c r="B39" s="148"/>
      <c r="C39" s="149" t="s">
        <v>55</v>
      </c>
      <c r="D39" s="135">
        <f>SUM(D38)</f>
        <v>0</v>
      </c>
      <c r="E39" s="135">
        <f t="shared" ref="E39:J39" si="6">SUM(E38)</f>
        <v>0</v>
      </c>
      <c r="F39" s="135">
        <f t="shared" si="6"/>
        <v>0</v>
      </c>
      <c r="G39" s="135">
        <f t="shared" si="6"/>
        <v>6000</v>
      </c>
      <c r="H39" s="135">
        <f t="shared" si="6"/>
        <v>0</v>
      </c>
      <c r="I39" s="135">
        <f t="shared" si="6"/>
        <v>0</v>
      </c>
      <c r="J39" s="135">
        <f t="shared" si="6"/>
        <v>0</v>
      </c>
      <c r="K39" s="135">
        <f>D39+E39+F39+G39+H39+I39+J39</f>
        <v>6000</v>
      </c>
    </row>
    <row r="40" spans="1:11" s="1" customFormat="1" x14ac:dyDescent="0.2">
      <c r="A40" s="77"/>
      <c r="B40" s="77"/>
      <c r="C40" s="150"/>
      <c r="D40" s="77"/>
      <c r="E40" s="77"/>
      <c r="F40" s="77"/>
      <c r="G40" s="77"/>
      <c r="H40" s="77"/>
      <c r="I40" s="77"/>
      <c r="J40" s="77"/>
      <c r="K40" s="77"/>
    </row>
    <row r="41" spans="1:11" s="1" customFormat="1" x14ac:dyDescent="0.2">
      <c r="A41" s="139"/>
      <c r="B41" s="140"/>
      <c r="C41" s="141"/>
      <c r="D41" s="75" t="s">
        <v>1</v>
      </c>
      <c r="E41" s="75" t="s">
        <v>2</v>
      </c>
      <c r="F41" s="75" t="s">
        <v>3</v>
      </c>
      <c r="G41" s="75" t="s">
        <v>4</v>
      </c>
      <c r="H41" s="75" t="s">
        <v>5</v>
      </c>
      <c r="I41" s="75" t="s">
        <v>6</v>
      </c>
      <c r="J41" s="75" t="s">
        <v>7</v>
      </c>
      <c r="K41" s="137"/>
    </row>
    <row r="42" spans="1:11" s="1" customFormat="1" ht="28.5" x14ac:dyDescent="0.2">
      <c r="A42" s="139"/>
      <c r="B42" s="142" t="s">
        <v>56</v>
      </c>
      <c r="C42" s="143" t="s">
        <v>57</v>
      </c>
      <c r="D42" s="76" t="s">
        <v>9</v>
      </c>
      <c r="E42" s="76" t="s">
        <v>10</v>
      </c>
      <c r="F42" s="76" t="s">
        <v>11</v>
      </c>
      <c r="G42" s="76" t="s">
        <v>12</v>
      </c>
      <c r="H42" s="76" t="s">
        <v>13</v>
      </c>
      <c r="I42" s="76" t="s">
        <v>14</v>
      </c>
      <c r="J42" s="76" t="s">
        <v>15</v>
      </c>
      <c r="K42" s="138"/>
    </row>
    <row r="43" spans="1:11" s="1" customFormat="1" ht="28.5" x14ac:dyDescent="0.25">
      <c r="A43" s="144" t="s">
        <v>58</v>
      </c>
      <c r="B43" s="145" t="s">
        <v>31</v>
      </c>
      <c r="C43" s="146" t="s">
        <v>59</v>
      </c>
      <c r="D43" s="134" t="s">
        <v>20</v>
      </c>
      <c r="E43" s="134" t="s">
        <v>20</v>
      </c>
      <c r="F43" s="134" t="s">
        <v>20</v>
      </c>
      <c r="G43" s="134">
        <v>5000</v>
      </c>
      <c r="H43" s="134" t="s">
        <v>20</v>
      </c>
      <c r="I43" s="134" t="s">
        <v>20</v>
      </c>
      <c r="J43" s="134" t="s">
        <v>20</v>
      </c>
      <c r="K43" s="134">
        <f>D43+E43+F43+G43+H43+I43+J43</f>
        <v>5000</v>
      </c>
    </row>
    <row r="44" spans="1:11" s="1" customFormat="1" ht="28.5" x14ac:dyDescent="0.2">
      <c r="A44" s="75" t="s">
        <v>58</v>
      </c>
      <c r="B44" s="148"/>
      <c r="C44" s="149" t="s">
        <v>60</v>
      </c>
      <c r="D44" s="135">
        <f>SUM(D43)</f>
        <v>0</v>
      </c>
      <c r="E44" s="135">
        <f t="shared" ref="E44:J44" si="7">SUM(E43)</f>
        <v>0</v>
      </c>
      <c r="F44" s="135">
        <f t="shared" si="7"/>
        <v>0</v>
      </c>
      <c r="G44" s="135">
        <f t="shared" si="7"/>
        <v>5000</v>
      </c>
      <c r="H44" s="135">
        <f t="shared" si="7"/>
        <v>0</v>
      </c>
      <c r="I44" s="135">
        <f t="shared" si="7"/>
        <v>0</v>
      </c>
      <c r="J44" s="135">
        <f t="shared" si="7"/>
        <v>0</v>
      </c>
      <c r="K44" s="135">
        <f>D44+E44+F44+G44+H44+I44+J44</f>
        <v>5000</v>
      </c>
    </row>
    <row r="45" spans="1:11" s="1" customFormat="1" x14ac:dyDescent="0.2">
      <c r="A45" s="77"/>
      <c r="B45" s="77"/>
      <c r="C45" s="150"/>
      <c r="D45" s="77"/>
      <c r="E45" s="77"/>
      <c r="F45" s="77"/>
      <c r="G45" s="77"/>
      <c r="H45" s="77"/>
      <c r="I45" s="77"/>
      <c r="J45" s="77"/>
      <c r="K45" s="77"/>
    </row>
    <row r="46" spans="1:11" s="1" customFormat="1" x14ac:dyDescent="0.2">
      <c r="A46" s="139"/>
      <c r="B46" s="140"/>
      <c r="C46" s="141"/>
      <c r="D46" s="75" t="s">
        <v>1</v>
      </c>
      <c r="E46" s="75" t="s">
        <v>2</v>
      </c>
      <c r="F46" s="75" t="s">
        <v>3</v>
      </c>
      <c r="G46" s="75" t="s">
        <v>4</v>
      </c>
      <c r="H46" s="75" t="s">
        <v>5</v>
      </c>
      <c r="I46" s="75" t="s">
        <v>6</v>
      </c>
      <c r="J46" s="75" t="s">
        <v>7</v>
      </c>
      <c r="K46" s="137"/>
    </row>
    <row r="47" spans="1:11" s="1" customFormat="1" ht="28.5" x14ac:dyDescent="0.2">
      <c r="A47" s="139"/>
      <c r="B47" s="142" t="s">
        <v>61</v>
      </c>
      <c r="C47" s="143" t="s">
        <v>62</v>
      </c>
      <c r="D47" s="76" t="s">
        <v>9</v>
      </c>
      <c r="E47" s="76" t="s">
        <v>10</v>
      </c>
      <c r="F47" s="76" t="s">
        <v>11</v>
      </c>
      <c r="G47" s="76" t="s">
        <v>12</v>
      </c>
      <c r="H47" s="76" t="s">
        <v>13</v>
      </c>
      <c r="I47" s="76" t="s">
        <v>14</v>
      </c>
      <c r="J47" s="76" t="s">
        <v>15</v>
      </c>
      <c r="K47" s="138"/>
    </row>
    <row r="48" spans="1:11" s="1" customFormat="1" ht="28.5" x14ac:dyDescent="0.25">
      <c r="A48" s="144" t="s">
        <v>63</v>
      </c>
      <c r="B48" s="145" t="s">
        <v>21</v>
      </c>
      <c r="C48" s="146" t="s">
        <v>64</v>
      </c>
      <c r="D48" s="134" t="s">
        <v>20</v>
      </c>
      <c r="E48" s="134" t="s">
        <v>20</v>
      </c>
      <c r="F48" s="134" t="s">
        <v>20</v>
      </c>
      <c r="G48" s="134">
        <v>50000</v>
      </c>
      <c r="H48" s="134" t="s">
        <v>20</v>
      </c>
      <c r="I48" s="134" t="s">
        <v>20</v>
      </c>
      <c r="J48" s="134" t="s">
        <v>20</v>
      </c>
      <c r="K48" s="134">
        <f>D48+E48+F48+G48+H48+I48+J48</f>
        <v>50000</v>
      </c>
    </row>
    <row r="49" spans="1:11" s="1" customFormat="1" ht="15" x14ac:dyDescent="0.25">
      <c r="A49" s="147"/>
      <c r="B49" s="145" t="s">
        <v>23</v>
      </c>
      <c r="C49" s="146" t="s">
        <v>65</v>
      </c>
      <c r="D49" s="134" t="s">
        <v>20</v>
      </c>
      <c r="E49" s="134" t="s">
        <v>20</v>
      </c>
      <c r="F49" s="134" t="s">
        <v>20</v>
      </c>
      <c r="G49" s="134">
        <v>100000</v>
      </c>
      <c r="H49" s="134" t="s">
        <v>20</v>
      </c>
      <c r="I49" s="134" t="s">
        <v>20</v>
      </c>
      <c r="J49" s="134" t="s">
        <v>20</v>
      </c>
      <c r="K49" s="134">
        <f>D49+E49+F49+G49+H49+I49+J49</f>
        <v>100000</v>
      </c>
    </row>
    <row r="50" spans="1:11" s="1" customFormat="1" ht="28.5" x14ac:dyDescent="0.2">
      <c r="A50" s="75" t="s">
        <v>63</v>
      </c>
      <c r="B50" s="148"/>
      <c r="C50" s="149" t="s">
        <v>66</v>
      </c>
      <c r="D50" s="135">
        <f>SUM(D48:D49)</f>
        <v>0</v>
      </c>
      <c r="E50" s="135">
        <f t="shared" ref="E50:J50" si="8">SUM(E48:E49)</f>
        <v>0</v>
      </c>
      <c r="F50" s="135">
        <f t="shared" si="8"/>
        <v>0</v>
      </c>
      <c r="G50" s="135">
        <f t="shared" si="8"/>
        <v>150000</v>
      </c>
      <c r="H50" s="135">
        <f t="shared" si="8"/>
        <v>0</v>
      </c>
      <c r="I50" s="135">
        <f t="shared" si="8"/>
        <v>0</v>
      </c>
      <c r="J50" s="135">
        <f t="shared" si="8"/>
        <v>0</v>
      </c>
      <c r="K50" s="135">
        <f>D50+E50+F50+G50+H50+I50+J50</f>
        <v>150000</v>
      </c>
    </row>
    <row r="51" spans="1:11" s="1" customFormat="1" x14ac:dyDescent="0.2">
      <c r="A51" s="77"/>
      <c r="B51" s="77"/>
      <c r="C51" s="150"/>
      <c r="D51" s="77"/>
      <c r="E51" s="77"/>
      <c r="F51" s="77"/>
      <c r="G51" s="77"/>
      <c r="H51" s="77"/>
      <c r="I51" s="77"/>
      <c r="J51" s="77"/>
      <c r="K51" s="77"/>
    </row>
    <row r="52" spans="1:11" s="1" customFormat="1" ht="28.5" x14ac:dyDescent="0.2">
      <c r="A52" s="77"/>
      <c r="B52" s="142" t="s">
        <v>222</v>
      </c>
      <c r="C52" s="143" t="s">
        <v>223</v>
      </c>
      <c r="D52" s="76" t="s">
        <v>9</v>
      </c>
      <c r="E52" s="76" t="s">
        <v>10</v>
      </c>
      <c r="F52" s="76" t="s">
        <v>11</v>
      </c>
      <c r="G52" s="76" t="s">
        <v>12</v>
      </c>
      <c r="H52" s="76" t="s">
        <v>13</v>
      </c>
      <c r="I52" s="76" t="s">
        <v>14</v>
      </c>
      <c r="J52" s="76" t="s">
        <v>15</v>
      </c>
      <c r="K52" s="138"/>
    </row>
    <row r="53" spans="1:11" s="1" customFormat="1" x14ac:dyDescent="0.2">
      <c r="A53" s="77"/>
      <c r="B53" s="145" t="s">
        <v>21</v>
      </c>
      <c r="C53" s="146" t="s">
        <v>224</v>
      </c>
      <c r="D53" s="134" t="s">
        <v>20</v>
      </c>
      <c r="E53" s="134" t="s">
        <v>20</v>
      </c>
      <c r="F53" s="134" t="s">
        <v>20</v>
      </c>
      <c r="G53" s="134">
        <v>100000</v>
      </c>
      <c r="H53" s="134" t="s">
        <v>20</v>
      </c>
      <c r="I53" s="134" t="s">
        <v>20</v>
      </c>
      <c r="J53" s="134" t="s">
        <v>20</v>
      </c>
      <c r="K53" s="134">
        <f>D53+E53+F53+G53+H53+I53+J53</f>
        <v>100000</v>
      </c>
    </row>
    <row r="54" spans="1:11" s="1" customFormat="1" ht="28.5" x14ac:dyDescent="0.2">
      <c r="A54" s="77"/>
      <c r="B54" s="148"/>
      <c r="C54" s="149" t="s">
        <v>225</v>
      </c>
      <c r="D54" s="135">
        <f t="shared" ref="D54:J54" si="9">SUM(D52:D53)</f>
        <v>0</v>
      </c>
      <c r="E54" s="135">
        <f t="shared" si="9"/>
        <v>0</v>
      </c>
      <c r="F54" s="135">
        <f t="shared" si="9"/>
        <v>0</v>
      </c>
      <c r="G54" s="135">
        <f t="shared" si="9"/>
        <v>100000</v>
      </c>
      <c r="H54" s="135">
        <f t="shared" si="9"/>
        <v>0</v>
      </c>
      <c r="I54" s="135">
        <f t="shared" si="9"/>
        <v>0</v>
      </c>
      <c r="J54" s="135">
        <f t="shared" si="9"/>
        <v>0</v>
      </c>
      <c r="K54" s="135">
        <f>D54+E54+F54+G54+H54+I54+J54</f>
        <v>100000</v>
      </c>
    </row>
    <row r="55" spans="1:11" s="1" customFormat="1" x14ac:dyDescent="0.2">
      <c r="A55" s="77"/>
      <c r="B55" s="77"/>
      <c r="C55" s="150"/>
      <c r="D55" s="77"/>
      <c r="E55" s="77"/>
      <c r="F55" s="77"/>
      <c r="G55" s="77"/>
      <c r="H55" s="77"/>
      <c r="I55" s="77"/>
      <c r="J55" s="77"/>
      <c r="K55" s="77"/>
    </row>
    <row r="56" spans="1:11" s="1" customFormat="1" ht="28.5" x14ac:dyDescent="0.2">
      <c r="A56" s="139"/>
      <c r="B56" s="142" t="s">
        <v>67</v>
      </c>
      <c r="C56" s="143" t="s">
        <v>68</v>
      </c>
      <c r="D56" s="76" t="s">
        <v>9</v>
      </c>
      <c r="E56" s="76" t="s">
        <v>10</v>
      </c>
      <c r="F56" s="76" t="s">
        <v>11</v>
      </c>
      <c r="G56" s="76" t="s">
        <v>12</v>
      </c>
      <c r="H56" s="76" t="s">
        <v>13</v>
      </c>
      <c r="I56" s="76" t="s">
        <v>14</v>
      </c>
      <c r="J56" s="76" t="s">
        <v>15</v>
      </c>
      <c r="K56" s="138"/>
    </row>
    <row r="57" spans="1:11" s="1" customFormat="1" ht="42.75" x14ac:dyDescent="0.25">
      <c r="A57" s="144" t="s">
        <v>69</v>
      </c>
      <c r="B57" s="145" t="s">
        <v>21</v>
      </c>
      <c r="C57" s="146" t="s">
        <v>70</v>
      </c>
      <c r="D57" s="134" t="s">
        <v>20</v>
      </c>
      <c r="E57" s="134" t="s">
        <v>20</v>
      </c>
      <c r="F57" s="134" t="s">
        <v>20</v>
      </c>
      <c r="G57" s="134">
        <v>62000</v>
      </c>
      <c r="H57" s="134" t="s">
        <v>20</v>
      </c>
      <c r="I57" s="134" t="s">
        <v>20</v>
      </c>
      <c r="J57" s="134" t="s">
        <v>20</v>
      </c>
      <c r="K57" s="134">
        <f>D57+E57+F57+G57+H57+I57+J57</f>
        <v>62000</v>
      </c>
    </row>
    <row r="58" spans="1:11" s="1" customFormat="1" ht="28.5" x14ac:dyDescent="0.2">
      <c r="A58" s="75" t="s">
        <v>69</v>
      </c>
      <c r="B58" s="148"/>
      <c r="C58" s="149" t="s">
        <v>71</v>
      </c>
      <c r="D58" s="135">
        <f>SUM(D57)</f>
        <v>0</v>
      </c>
      <c r="E58" s="135">
        <f t="shared" ref="E58:J58" si="10">SUM(E57)</f>
        <v>0</v>
      </c>
      <c r="F58" s="135">
        <f t="shared" si="10"/>
        <v>0</v>
      </c>
      <c r="G58" s="135">
        <f t="shared" si="10"/>
        <v>62000</v>
      </c>
      <c r="H58" s="135">
        <f t="shared" si="10"/>
        <v>0</v>
      </c>
      <c r="I58" s="135">
        <f t="shared" si="10"/>
        <v>0</v>
      </c>
      <c r="J58" s="135">
        <f t="shared" si="10"/>
        <v>0</v>
      </c>
      <c r="K58" s="135">
        <f>D58+E58+F58+G58+H58+I58+J58</f>
        <v>62000</v>
      </c>
    </row>
    <row r="59" spans="1:11" s="1" customFormat="1" x14ac:dyDescent="0.2">
      <c r="A59" s="77"/>
      <c r="B59" s="77"/>
      <c r="C59" s="150"/>
      <c r="D59" s="77"/>
      <c r="E59" s="77"/>
      <c r="F59" s="77"/>
      <c r="G59" s="77"/>
      <c r="H59" s="77"/>
      <c r="I59" s="77"/>
      <c r="J59" s="77"/>
      <c r="K59" s="77"/>
    </row>
    <row r="60" spans="1:11" s="1" customFormat="1" x14ac:dyDescent="0.2">
      <c r="A60" s="139"/>
      <c r="B60" s="140"/>
      <c r="C60" s="141"/>
      <c r="D60" s="75" t="s">
        <v>1</v>
      </c>
      <c r="E60" s="75" t="s">
        <v>2</v>
      </c>
      <c r="F60" s="75" t="s">
        <v>3</v>
      </c>
      <c r="G60" s="75" t="s">
        <v>4</v>
      </c>
      <c r="H60" s="75" t="s">
        <v>5</v>
      </c>
      <c r="I60" s="75" t="s">
        <v>6</v>
      </c>
      <c r="J60" s="75" t="s">
        <v>7</v>
      </c>
      <c r="K60" s="137"/>
    </row>
    <row r="61" spans="1:11" s="1" customFormat="1" x14ac:dyDescent="0.2">
      <c r="A61" s="139"/>
      <c r="B61" s="142" t="s">
        <v>72</v>
      </c>
      <c r="C61" s="143" t="s">
        <v>73</v>
      </c>
      <c r="D61" s="76" t="s">
        <v>9</v>
      </c>
      <c r="E61" s="76" t="s">
        <v>10</v>
      </c>
      <c r="F61" s="76" t="s">
        <v>11</v>
      </c>
      <c r="G61" s="76" t="s">
        <v>12</v>
      </c>
      <c r="H61" s="76" t="s">
        <v>13</v>
      </c>
      <c r="I61" s="76" t="s">
        <v>14</v>
      </c>
      <c r="J61" s="76" t="s">
        <v>15</v>
      </c>
      <c r="K61" s="138"/>
    </row>
    <row r="62" spans="1:11" s="1" customFormat="1" ht="15" x14ac:dyDescent="0.25">
      <c r="A62" s="144" t="s">
        <v>74</v>
      </c>
      <c r="B62" s="145" t="s">
        <v>17</v>
      </c>
      <c r="C62" s="146" t="s">
        <v>75</v>
      </c>
      <c r="D62" s="134" t="s">
        <v>20</v>
      </c>
      <c r="E62" s="134" t="s">
        <v>20</v>
      </c>
      <c r="F62" s="134" t="s">
        <v>20</v>
      </c>
      <c r="G62" s="134" t="s">
        <v>20</v>
      </c>
      <c r="H62" s="134" t="s">
        <v>20</v>
      </c>
      <c r="I62" s="134" t="s">
        <v>20</v>
      </c>
      <c r="J62" s="134">
        <f>108910-23500</f>
        <v>85410</v>
      </c>
      <c r="K62" s="134">
        <f>D62+E62+F62+G62+H62+I62+J62</f>
        <v>85410</v>
      </c>
    </row>
    <row r="63" spans="1:11" s="1" customFormat="1" ht="15" x14ac:dyDescent="0.25">
      <c r="A63" s="147"/>
      <c r="B63" s="145" t="s">
        <v>21</v>
      </c>
      <c r="C63" s="146" t="s">
        <v>76</v>
      </c>
      <c r="D63" s="134" t="s">
        <v>20</v>
      </c>
      <c r="E63" s="134" t="s">
        <v>20</v>
      </c>
      <c r="F63" s="134" t="s">
        <v>20</v>
      </c>
      <c r="G63" s="134" t="s">
        <v>20</v>
      </c>
      <c r="H63" s="134" t="s">
        <v>20</v>
      </c>
      <c r="I63" s="134" t="s">
        <v>20</v>
      </c>
      <c r="J63" s="134">
        <v>0</v>
      </c>
      <c r="K63" s="134">
        <f>D63+E63+F63+G63+H63+I63+J63</f>
        <v>0</v>
      </c>
    </row>
    <row r="64" spans="1:11" s="1" customFormat="1" ht="15" x14ac:dyDescent="0.25">
      <c r="A64" s="147"/>
      <c r="B64" s="145" t="s">
        <v>23</v>
      </c>
      <c r="C64" s="146" t="s">
        <v>77</v>
      </c>
      <c r="D64" s="134" t="s">
        <v>20</v>
      </c>
      <c r="E64" s="134" t="s">
        <v>20</v>
      </c>
      <c r="F64" s="134" t="s">
        <v>20</v>
      </c>
      <c r="G64" s="134" t="s">
        <v>20</v>
      </c>
      <c r="H64" s="134" t="s">
        <v>20</v>
      </c>
      <c r="I64" s="134" t="s">
        <v>20</v>
      </c>
      <c r="J64" s="134">
        <f>70000-50000</f>
        <v>20000</v>
      </c>
      <c r="K64" s="134">
        <f>D64+E64+F64+G64+H64+I64+J64</f>
        <v>20000</v>
      </c>
    </row>
    <row r="65" spans="1:11" s="1" customFormat="1" ht="28.5" x14ac:dyDescent="0.2">
      <c r="A65" s="75" t="s">
        <v>74</v>
      </c>
      <c r="B65" s="148"/>
      <c r="C65" s="149" t="s">
        <v>78</v>
      </c>
      <c r="D65" s="135">
        <f>SUM(D62:D64)</f>
        <v>0</v>
      </c>
      <c r="E65" s="135">
        <f t="shared" ref="E65:J65" si="11">SUM(E62:E64)</f>
        <v>0</v>
      </c>
      <c r="F65" s="135">
        <f t="shared" si="11"/>
        <v>0</v>
      </c>
      <c r="G65" s="135">
        <f t="shared" si="11"/>
        <v>0</v>
      </c>
      <c r="H65" s="135">
        <f t="shared" si="11"/>
        <v>0</v>
      </c>
      <c r="I65" s="135">
        <f t="shared" si="11"/>
        <v>0</v>
      </c>
      <c r="J65" s="135">
        <f t="shared" si="11"/>
        <v>105410</v>
      </c>
      <c r="K65" s="135">
        <f>D65+E65+F65+G65+H65+I65+J65</f>
        <v>105410</v>
      </c>
    </row>
    <row r="66" spans="1:11" s="1" customFormat="1" x14ac:dyDescent="0.2">
      <c r="A66" s="77"/>
      <c r="B66" s="77"/>
      <c r="C66" s="150"/>
      <c r="D66" s="77"/>
      <c r="E66" s="77"/>
      <c r="F66" s="77"/>
      <c r="G66" s="77"/>
      <c r="H66" s="77"/>
      <c r="I66" s="77"/>
      <c r="J66" s="77"/>
      <c r="K66" s="77"/>
    </row>
    <row r="67" spans="1:11" s="1" customFormat="1" ht="15" x14ac:dyDescent="0.2">
      <c r="A67" s="153"/>
      <c r="B67" s="154"/>
      <c r="C67" s="155"/>
      <c r="D67" s="79"/>
      <c r="E67" s="79"/>
      <c r="F67" s="79"/>
      <c r="G67" s="79"/>
      <c r="H67" s="79"/>
      <c r="I67" s="79"/>
      <c r="J67" s="79"/>
      <c r="K67" s="79"/>
    </row>
    <row r="68" spans="1:11" s="1" customFormat="1" ht="15" x14ac:dyDescent="0.2">
      <c r="A68" s="153"/>
      <c r="B68" s="251" t="s">
        <v>79</v>
      </c>
      <c r="C68" s="251"/>
      <c r="D68" s="136">
        <f>D65+D58+D50+D44+D39+D34+D28+D20+D14+D24+D54</f>
        <v>249030.7</v>
      </c>
      <c r="E68" s="136">
        <f t="shared" ref="E68:K68" si="12">E65+E58+E50+E44+E39+E34+E28+E20+E14+E24+E54</f>
        <v>1158269.6800000002</v>
      </c>
      <c r="F68" s="136">
        <f t="shared" si="12"/>
        <v>12447447.539999999</v>
      </c>
      <c r="G68" s="136">
        <f t="shared" si="12"/>
        <v>8374600</v>
      </c>
      <c r="H68" s="136">
        <f t="shared" si="12"/>
        <v>500</v>
      </c>
      <c r="I68" s="136">
        <f t="shared" si="12"/>
        <v>131176.07</v>
      </c>
      <c r="J68" s="136">
        <f t="shared" si="12"/>
        <v>223870.01</v>
      </c>
      <c r="K68" s="136">
        <f t="shared" si="12"/>
        <v>22584894</v>
      </c>
    </row>
  </sheetData>
  <mergeCells count="3">
    <mergeCell ref="B2:C3"/>
    <mergeCell ref="B68:C68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5" fitToWidth="2" fitToHeight="2" orientation="landscape" r:id="rId1"/>
  <headerFooter alignWithMargins="0"/>
  <rowBreaks count="1" manualBreakCount="1">
    <brk id="4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65"/>
  <sheetViews>
    <sheetView zoomScale="80" zoomScaleNormal="100" zoomScaleSheetLayoutView="80" workbookViewId="0">
      <selection activeCell="E75" sqref="E75"/>
    </sheetView>
  </sheetViews>
  <sheetFormatPr defaultRowHeight="14.25" x14ac:dyDescent="0.2"/>
  <cols>
    <col min="1" max="1" width="5.5703125" style="81" customWidth="1"/>
    <col min="2" max="2" width="14.140625" style="81" customWidth="1"/>
    <col min="3" max="3" width="48.140625" style="80" customWidth="1"/>
    <col min="4" max="4" width="15.7109375" style="81" customWidth="1"/>
    <col min="5" max="5" width="18.85546875" style="81" customWidth="1"/>
    <col min="6" max="6" width="20.28515625" style="81" customWidth="1"/>
    <col min="7" max="7" width="19.28515625" style="81" customWidth="1"/>
    <col min="8" max="10" width="15.85546875" style="81" customWidth="1"/>
    <col min="11" max="11" width="21.140625" style="81" customWidth="1"/>
    <col min="12" max="12" width="30.28515625" style="81" customWidth="1"/>
    <col min="13" max="16384" width="9.140625" style="81"/>
  </cols>
  <sheetData>
    <row r="1" spans="1:12" s="77" customFormat="1" ht="45" customHeight="1" x14ac:dyDescent="0.2">
      <c r="A1" s="252" t="s">
        <v>240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156"/>
    </row>
    <row r="2" spans="1:12" s="77" customFormat="1" ht="60" x14ac:dyDescent="0.2">
      <c r="B2" s="250" t="s">
        <v>0</v>
      </c>
      <c r="C2" s="250"/>
      <c r="D2" s="74" t="s">
        <v>1</v>
      </c>
      <c r="E2" s="74" t="s">
        <v>2</v>
      </c>
      <c r="F2" s="74" t="s">
        <v>3</v>
      </c>
      <c r="G2" s="74" t="s">
        <v>4</v>
      </c>
      <c r="H2" s="74" t="s">
        <v>5</v>
      </c>
      <c r="I2" s="74" t="s">
        <v>6</v>
      </c>
      <c r="J2" s="74" t="s">
        <v>7</v>
      </c>
      <c r="K2" s="87" t="s">
        <v>8</v>
      </c>
    </row>
    <row r="3" spans="1:12" s="77" customFormat="1" ht="15" x14ac:dyDescent="0.2">
      <c r="B3" s="250"/>
      <c r="C3" s="250"/>
      <c r="D3" s="87" t="s">
        <v>9</v>
      </c>
      <c r="E3" s="87" t="s">
        <v>10</v>
      </c>
      <c r="F3" s="87" t="s">
        <v>11</v>
      </c>
      <c r="G3" s="87" t="s">
        <v>12</v>
      </c>
      <c r="H3" s="87" t="s">
        <v>13</v>
      </c>
      <c r="I3" s="87" t="s">
        <v>14</v>
      </c>
      <c r="J3" s="87" t="s">
        <v>15</v>
      </c>
      <c r="K3" s="87" t="s">
        <v>16</v>
      </c>
    </row>
    <row r="4" spans="1:12" s="77" customFormat="1" x14ac:dyDescent="0.2">
      <c r="A4" s="139"/>
      <c r="B4" s="140"/>
      <c r="C4" s="141"/>
      <c r="D4" s="75" t="s">
        <v>1</v>
      </c>
      <c r="E4" s="75" t="s">
        <v>2</v>
      </c>
      <c r="F4" s="75" t="s">
        <v>3</v>
      </c>
      <c r="G4" s="75" t="s">
        <v>4</v>
      </c>
      <c r="H4" s="75" t="s">
        <v>5</v>
      </c>
      <c r="I4" s="75" t="s">
        <v>6</v>
      </c>
      <c r="J4" s="75" t="s">
        <v>7</v>
      </c>
      <c r="K4" s="137"/>
    </row>
    <row r="5" spans="1:12" s="77" customFormat="1" ht="28.5" x14ac:dyDescent="0.2">
      <c r="A5" s="139"/>
      <c r="B5" s="142" t="s">
        <v>17</v>
      </c>
      <c r="C5" s="143" t="s">
        <v>18</v>
      </c>
      <c r="D5" s="76" t="s">
        <v>9</v>
      </c>
      <c r="E5" s="76" t="s">
        <v>10</v>
      </c>
      <c r="F5" s="76" t="s">
        <v>11</v>
      </c>
      <c r="G5" s="76" t="s">
        <v>12</v>
      </c>
      <c r="H5" s="76" t="s">
        <v>13</v>
      </c>
      <c r="I5" s="76" t="s">
        <v>14</v>
      </c>
      <c r="J5" s="76" t="s">
        <v>15</v>
      </c>
      <c r="K5" s="138"/>
    </row>
    <row r="6" spans="1:12" s="77" customFormat="1" ht="15" x14ac:dyDescent="0.25">
      <c r="A6" s="144" t="s">
        <v>16</v>
      </c>
      <c r="B6" s="145" t="s">
        <v>17</v>
      </c>
      <c r="C6" s="146" t="s">
        <v>19</v>
      </c>
      <c r="D6" s="134" t="s">
        <v>20</v>
      </c>
      <c r="E6" s="134">
        <v>937777.46</v>
      </c>
      <c r="F6" s="134">
        <f>7829470.64+15000-14300</f>
        <v>7830170.6399999997</v>
      </c>
      <c r="G6" s="134">
        <f>7403600+35000+14300</f>
        <v>7452900</v>
      </c>
      <c r="H6" s="134" t="s">
        <v>20</v>
      </c>
      <c r="I6" s="134" t="s">
        <v>20</v>
      </c>
      <c r="J6" s="134">
        <v>2000</v>
      </c>
      <c r="K6" s="134">
        <f t="shared" ref="K6:K12" si="0">D6+E6+F6+G6+H6+I6+J6</f>
        <v>16222848.1</v>
      </c>
    </row>
    <row r="7" spans="1:12" s="77" customFormat="1" ht="15" x14ac:dyDescent="0.25">
      <c r="A7" s="147"/>
      <c r="B7" s="145" t="s">
        <v>21</v>
      </c>
      <c r="C7" s="146" t="s">
        <v>22</v>
      </c>
      <c r="D7" s="134" t="s">
        <v>20</v>
      </c>
      <c r="E7" s="134" t="s">
        <v>20</v>
      </c>
      <c r="F7" s="134">
        <v>26090</v>
      </c>
      <c r="G7" s="134" t="s">
        <v>20</v>
      </c>
      <c r="H7" s="134" t="s">
        <v>20</v>
      </c>
      <c r="I7" s="134" t="s">
        <v>20</v>
      </c>
      <c r="J7" s="134" t="s">
        <v>20</v>
      </c>
      <c r="K7" s="134">
        <f t="shared" si="0"/>
        <v>26090</v>
      </c>
    </row>
    <row r="8" spans="1:12" s="77" customFormat="1" ht="28.5" x14ac:dyDescent="0.25">
      <c r="A8" s="147"/>
      <c r="B8" s="145" t="s">
        <v>23</v>
      </c>
      <c r="C8" s="146" t="s">
        <v>24</v>
      </c>
      <c r="D8" s="134">
        <f>261745.35-4606.12</f>
        <v>257139.23</v>
      </c>
      <c r="E8" s="134">
        <v>10700</v>
      </c>
      <c r="F8" s="134">
        <f>2495775.56+23500+4606.12</f>
        <v>2523881.6800000002</v>
      </c>
      <c r="G8" s="134" t="s">
        <v>20</v>
      </c>
      <c r="H8" s="134" t="s">
        <v>20</v>
      </c>
      <c r="I8" s="134" t="s">
        <v>20</v>
      </c>
      <c r="J8" s="134">
        <v>110500</v>
      </c>
      <c r="K8" s="134">
        <f t="shared" si="0"/>
        <v>2902220.91</v>
      </c>
    </row>
    <row r="9" spans="1:12" s="77" customFormat="1" ht="15" x14ac:dyDescent="0.25">
      <c r="A9" s="147"/>
      <c r="B9" s="145" t="s">
        <v>25</v>
      </c>
      <c r="C9" s="146" t="s">
        <v>26</v>
      </c>
      <c r="D9" s="134" t="s">
        <v>20</v>
      </c>
      <c r="E9" s="134">
        <v>210180</v>
      </c>
      <c r="F9" s="134">
        <v>26860</v>
      </c>
      <c r="G9" s="134" t="s">
        <v>20</v>
      </c>
      <c r="H9" s="134" t="s">
        <v>20</v>
      </c>
      <c r="I9" s="134" t="s">
        <v>20</v>
      </c>
      <c r="J9" s="134">
        <v>6000</v>
      </c>
      <c r="K9" s="134">
        <f t="shared" si="0"/>
        <v>243040</v>
      </c>
    </row>
    <row r="10" spans="1:12" s="77" customFormat="1" ht="15" x14ac:dyDescent="0.25">
      <c r="A10" s="147"/>
      <c r="B10" s="145" t="s">
        <v>27</v>
      </c>
      <c r="C10" s="146" t="s">
        <v>28</v>
      </c>
      <c r="D10" s="134" t="s">
        <v>20</v>
      </c>
      <c r="E10" s="134" t="s">
        <v>20</v>
      </c>
      <c r="F10" s="134">
        <v>378950</v>
      </c>
      <c r="G10" s="134" t="s">
        <v>20</v>
      </c>
      <c r="H10" s="134" t="s">
        <v>20</v>
      </c>
      <c r="I10" s="134" t="s">
        <v>20</v>
      </c>
      <c r="J10" s="134">
        <v>0</v>
      </c>
      <c r="K10" s="134">
        <f t="shared" si="0"/>
        <v>378950</v>
      </c>
    </row>
    <row r="11" spans="1:12" s="77" customFormat="1" ht="15" x14ac:dyDescent="0.25">
      <c r="A11" s="147"/>
      <c r="B11" s="145" t="s">
        <v>29</v>
      </c>
      <c r="C11" s="146" t="s">
        <v>30</v>
      </c>
      <c r="D11" s="134" t="s">
        <v>20</v>
      </c>
      <c r="E11" s="134" t="s">
        <v>20</v>
      </c>
      <c r="F11" s="134">
        <v>1058074.17</v>
      </c>
      <c r="G11" s="134" t="s">
        <v>20</v>
      </c>
      <c r="H11" s="134" t="s">
        <v>20</v>
      </c>
      <c r="I11" s="134" t="s">
        <v>20</v>
      </c>
      <c r="J11" s="134">
        <v>0</v>
      </c>
      <c r="K11" s="134">
        <f t="shared" si="0"/>
        <v>1058074.17</v>
      </c>
    </row>
    <row r="12" spans="1:12" s="77" customFormat="1" ht="15" x14ac:dyDescent="0.25">
      <c r="A12" s="147"/>
      <c r="B12" s="145" t="s">
        <v>31</v>
      </c>
      <c r="C12" s="146" t="s">
        <v>32</v>
      </c>
      <c r="D12" s="134">
        <v>630</v>
      </c>
      <c r="E12" s="134">
        <v>5120</v>
      </c>
      <c r="F12" s="134">
        <v>90300</v>
      </c>
      <c r="G12" s="134" t="s">
        <v>20</v>
      </c>
      <c r="H12" s="134" t="s">
        <v>20</v>
      </c>
      <c r="I12" s="134">
        <v>131176.07</v>
      </c>
      <c r="J12" s="134" t="s">
        <v>20</v>
      </c>
      <c r="K12" s="134">
        <f t="shared" si="0"/>
        <v>227226.07</v>
      </c>
    </row>
    <row r="13" spans="1:12" s="77" customFormat="1" ht="15" x14ac:dyDescent="0.25">
      <c r="A13" s="147"/>
      <c r="B13" s="145" t="s">
        <v>33</v>
      </c>
      <c r="C13" s="146" t="s">
        <v>34</v>
      </c>
      <c r="D13" s="134" t="s">
        <v>20</v>
      </c>
      <c r="E13" s="134">
        <v>0</v>
      </c>
      <c r="F13" s="134">
        <v>5500</v>
      </c>
      <c r="G13" s="134">
        <v>22600</v>
      </c>
      <c r="H13" s="134">
        <v>500</v>
      </c>
      <c r="I13" s="134" t="s">
        <v>20</v>
      </c>
      <c r="J13" s="134">
        <v>3600</v>
      </c>
      <c r="K13" s="134">
        <f>D13+E13+F13+G13+H13+I13+J13</f>
        <v>32200</v>
      </c>
    </row>
    <row r="14" spans="1:12" s="77" customFormat="1" ht="28.5" x14ac:dyDescent="0.2">
      <c r="A14" s="75" t="s">
        <v>16</v>
      </c>
      <c r="B14" s="148"/>
      <c r="C14" s="149" t="s">
        <v>35</v>
      </c>
      <c r="D14" s="135">
        <f>SUM(D6:D13)</f>
        <v>257769.23</v>
      </c>
      <c r="E14" s="135">
        <f t="shared" ref="E14:J14" si="1">SUM(E6:E13)</f>
        <v>1163777.46</v>
      </c>
      <c r="F14" s="135">
        <f t="shared" si="1"/>
        <v>11939826.49</v>
      </c>
      <c r="G14" s="135">
        <f t="shared" si="1"/>
        <v>7475500</v>
      </c>
      <c r="H14" s="135">
        <f t="shared" si="1"/>
        <v>500</v>
      </c>
      <c r="I14" s="135">
        <f t="shared" si="1"/>
        <v>131176.07</v>
      </c>
      <c r="J14" s="135">
        <f t="shared" si="1"/>
        <v>122100</v>
      </c>
      <c r="K14" s="135">
        <f>D14+E14+F14+G14+H14+I14+J14</f>
        <v>21090649.25</v>
      </c>
    </row>
    <row r="15" spans="1:12" s="77" customFormat="1" x14ac:dyDescent="0.2">
      <c r="C15" s="150"/>
    </row>
    <row r="16" spans="1:12" s="77" customFormat="1" x14ac:dyDescent="0.2">
      <c r="A16" s="139"/>
      <c r="B16" s="140"/>
      <c r="C16" s="141"/>
      <c r="D16" s="75" t="s">
        <v>1</v>
      </c>
      <c r="E16" s="75" t="s">
        <v>2</v>
      </c>
      <c r="F16" s="75" t="s">
        <v>3</v>
      </c>
      <c r="G16" s="75" t="s">
        <v>4</v>
      </c>
      <c r="H16" s="75" t="s">
        <v>5</v>
      </c>
      <c r="I16" s="75" t="s">
        <v>6</v>
      </c>
      <c r="J16" s="75" t="s">
        <v>7</v>
      </c>
      <c r="K16" s="137"/>
    </row>
    <row r="17" spans="1:11" s="77" customFormat="1" ht="28.5" x14ac:dyDescent="0.2">
      <c r="A17" s="139"/>
      <c r="B17" s="142" t="s">
        <v>25</v>
      </c>
      <c r="C17" s="143" t="s">
        <v>36</v>
      </c>
      <c r="D17" s="76" t="s">
        <v>9</v>
      </c>
      <c r="E17" s="76" t="s">
        <v>10</v>
      </c>
      <c r="F17" s="76" t="s">
        <v>11</v>
      </c>
      <c r="G17" s="76" t="s">
        <v>12</v>
      </c>
      <c r="H17" s="76" t="s">
        <v>13</v>
      </c>
      <c r="I17" s="76" t="s">
        <v>14</v>
      </c>
      <c r="J17" s="76" t="s">
        <v>15</v>
      </c>
      <c r="K17" s="138"/>
    </row>
    <row r="18" spans="1:11" s="77" customFormat="1" ht="15" x14ac:dyDescent="0.25">
      <c r="A18" s="144" t="s">
        <v>37</v>
      </c>
      <c r="B18" s="145" t="s">
        <v>17</v>
      </c>
      <c r="C18" s="146" t="s">
        <v>38</v>
      </c>
      <c r="D18" s="134" t="s">
        <v>20</v>
      </c>
      <c r="E18" s="134" t="s">
        <v>20</v>
      </c>
      <c r="F18" s="134" t="s">
        <v>20</v>
      </c>
      <c r="G18" s="134" t="s">
        <v>20</v>
      </c>
      <c r="H18" s="134" t="s">
        <v>20</v>
      </c>
      <c r="I18" s="134" t="s">
        <v>20</v>
      </c>
      <c r="J18" s="134">
        <v>0</v>
      </c>
      <c r="K18" s="134">
        <f>D18+E18+F18+G18+H18+I18+J18</f>
        <v>0</v>
      </c>
    </row>
    <row r="19" spans="1:11" s="77" customFormat="1" ht="28.5" x14ac:dyDescent="0.25">
      <c r="A19" s="147"/>
      <c r="B19" s="145" t="s">
        <v>21</v>
      </c>
      <c r="C19" s="146" t="s">
        <v>39</v>
      </c>
      <c r="D19" s="134" t="s">
        <v>20</v>
      </c>
      <c r="E19" s="134" t="s">
        <v>20</v>
      </c>
      <c r="F19" s="134">
        <v>590425.75</v>
      </c>
      <c r="G19" s="134">
        <v>614500</v>
      </c>
      <c r="H19" s="134" t="s">
        <v>20</v>
      </c>
      <c r="I19" s="134" t="s">
        <v>20</v>
      </c>
      <c r="J19" s="134">
        <v>0</v>
      </c>
      <c r="K19" s="134">
        <f>D19+E19+F19+G19+H19+I19+J19</f>
        <v>1204925.75</v>
      </c>
    </row>
    <row r="20" spans="1:11" s="77" customFormat="1" ht="42.75" x14ac:dyDescent="0.2">
      <c r="A20" s="75" t="s">
        <v>37</v>
      </c>
      <c r="B20" s="148"/>
      <c r="C20" s="149" t="s">
        <v>40</v>
      </c>
      <c r="D20" s="135">
        <f>SUM(D18:D19)</f>
        <v>0</v>
      </c>
      <c r="E20" s="135">
        <f t="shared" ref="E20:J20" si="2">SUM(E18:E19)</f>
        <v>0</v>
      </c>
      <c r="F20" s="135">
        <f t="shared" si="2"/>
        <v>590425.75</v>
      </c>
      <c r="G20" s="135">
        <f t="shared" si="2"/>
        <v>614500</v>
      </c>
      <c r="H20" s="135">
        <f t="shared" si="2"/>
        <v>0</v>
      </c>
      <c r="I20" s="135">
        <f t="shared" si="2"/>
        <v>0</v>
      </c>
      <c r="J20" s="135">
        <f t="shared" si="2"/>
        <v>0</v>
      </c>
      <c r="K20" s="135">
        <f>D20+E20+F20+G20+H20+I20+J20</f>
        <v>1204925.75</v>
      </c>
    </row>
    <row r="21" spans="1:11" s="77" customFormat="1" x14ac:dyDescent="0.2">
      <c r="C21" s="150"/>
    </row>
    <row r="22" spans="1:11" s="77" customFormat="1" x14ac:dyDescent="0.2">
      <c r="A22" s="139"/>
      <c r="B22" s="140"/>
      <c r="C22" s="141"/>
      <c r="D22" s="75" t="s">
        <v>1</v>
      </c>
      <c r="E22" s="75" t="s">
        <v>2</v>
      </c>
      <c r="F22" s="75" t="s">
        <v>3</v>
      </c>
      <c r="G22" s="75" t="s">
        <v>4</v>
      </c>
      <c r="H22" s="75" t="s">
        <v>5</v>
      </c>
      <c r="I22" s="75" t="s">
        <v>6</v>
      </c>
      <c r="J22" s="75" t="s">
        <v>7</v>
      </c>
      <c r="K22" s="137"/>
    </row>
    <row r="23" spans="1:11" s="77" customFormat="1" x14ac:dyDescent="0.2">
      <c r="A23" s="139"/>
      <c r="B23" s="142" t="s">
        <v>41</v>
      </c>
      <c r="C23" s="143" t="s">
        <v>42</v>
      </c>
      <c r="D23" s="76" t="s">
        <v>9</v>
      </c>
      <c r="E23" s="76" t="s">
        <v>10</v>
      </c>
      <c r="F23" s="76" t="s">
        <v>11</v>
      </c>
      <c r="G23" s="76" t="s">
        <v>12</v>
      </c>
      <c r="H23" s="76" t="s">
        <v>13</v>
      </c>
      <c r="I23" s="76" t="s">
        <v>14</v>
      </c>
      <c r="J23" s="76" t="s">
        <v>15</v>
      </c>
      <c r="K23" s="138"/>
    </row>
    <row r="24" spans="1:11" s="77" customFormat="1" ht="15" x14ac:dyDescent="0.25">
      <c r="A24" s="144" t="s">
        <v>43</v>
      </c>
      <c r="B24" s="145" t="s">
        <v>17</v>
      </c>
      <c r="C24" s="146" t="s">
        <v>44</v>
      </c>
      <c r="D24" s="134" t="s">
        <v>20</v>
      </c>
      <c r="E24" s="134" t="s">
        <v>20</v>
      </c>
      <c r="F24" s="134" t="s">
        <v>20</v>
      </c>
      <c r="G24" s="134">
        <v>0</v>
      </c>
      <c r="H24" s="134" t="s">
        <v>20</v>
      </c>
      <c r="I24" s="134" t="s">
        <v>20</v>
      </c>
      <c r="J24" s="134" t="s">
        <v>20</v>
      </c>
      <c r="K24" s="134">
        <v>0</v>
      </c>
    </row>
    <row r="25" spans="1:11" s="77" customFormat="1" ht="15" x14ac:dyDescent="0.2">
      <c r="A25" s="75" t="s">
        <v>43</v>
      </c>
      <c r="B25" s="148"/>
      <c r="C25" s="149" t="s">
        <v>45</v>
      </c>
      <c r="D25" s="135">
        <f>SUM(D24)</f>
        <v>0</v>
      </c>
      <c r="E25" s="135">
        <f t="shared" ref="E25:J25" si="3">SUM(E24)</f>
        <v>0</v>
      </c>
      <c r="F25" s="135">
        <f t="shared" si="3"/>
        <v>0</v>
      </c>
      <c r="G25" s="135">
        <f t="shared" si="3"/>
        <v>0</v>
      </c>
      <c r="H25" s="135">
        <f t="shared" si="3"/>
        <v>0</v>
      </c>
      <c r="I25" s="135">
        <f t="shared" si="3"/>
        <v>0</v>
      </c>
      <c r="J25" s="135">
        <f t="shared" si="3"/>
        <v>0</v>
      </c>
      <c r="K25" s="135">
        <v>0</v>
      </c>
    </row>
    <row r="26" spans="1:11" s="77" customFormat="1" x14ac:dyDescent="0.2">
      <c r="C26" s="150"/>
    </row>
    <row r="27" spans="1:11" s="77" customFormat="1" x14ac:dyDescent="0.2">
      <c r="A27" s="139"/>
      <c r="B27" s="140"/>
      <c r="C27" s="141"/>
      <c r="D27" s="75" t="s">
        <v>1</v>
      </c>
      <c r="E27" s="75" t="s">
        <v>2</v>
      </c>
      <c r="F27" s="75" t="s">
        <v>3</v>
      </c>
      <c r="G27" s="75" t="s">
        <v>4</v>
      </c>
      <c r="H27" s="75" t="s">
        <v>5</v>
      </c>
      <c r="I27" s="75" t="s">
        <v>6</v>
      </c>
      <c r="J27" s="75" t="s">
        <v>7</v>
      </c>
      <c r="K27" s="137"/>
    </row>
    <row r="28" spans="1:11" s="77" customFormat="1" ht="28.5" x14ac:dyDescent="0.2">
      <c r="A28" s="139"/>
      <c r="B28" s="142" t="s">
        <v>46</v>
      </c>
      <c r="C28" s="143" t="s">
        <v>47</v>
      </c>
      <c r="D28" s="76" t="s">
        <v>9</v>
      </c>
      <c r="E28" s="76" t="s">
        <v>10</v>
      </c>
      <c r="F28" s="76" t="s">
        <v>11</v>
      </c>
      <c r="G28" s="76" t="s">
        <v>12</v>
      </c>
      <c r="H28" s="76" t="s">
        <v>13</v>
      </c>
      <c r="I28" s="76" t="s">
        <v>14</v>
      </c>
      <c r="J28" s="76" t="s">
        <v>15</v>
      </c>
      <c r="K28" s="138"/>
    </row>
    <row r="29" spans="1:11" s="77" customFormat="1" ht="15" x14ac:dyDescent="0.25">
      <c r="A29" s="144" t="s">
        <v>48</v>
      </c>
      <c r="B29" s="145" t="s">
        <v>21</v>
      </c>
      <c r="C29" s="146" t="s">
        <v>49</v>
      </c>
      <c r="D29" s="134" t="s">
        <v>20</v>
      </c>
      <c r="E29" s="134" t="s">
        <v>20</v>
      </c>
      <c r="F29" s="134" t="s">
        <v>20</v>
      </c>
      <c r="G29" s="134">
        <v>0</v>
      </c>
      <c r="H29" s="134" t="s">
        <v>20</v>
      </c>
      <c r="I29" s="134" t="s">
        <v>20</v>
      </c>
      <c r="J29" s="134" t="s">
        <v>20</v>
      </c>
      <c r="K29" s="134">
        <f>D29+E29+F29+G29+H29+I29+J29</f>
        <v>0</v>
      </c>
    </row>
    <row r="30" spans="1:11" s="77" customFormat="1" ht="15" x14ac:dyDescent="0.25">
      <c r="A30" s="147"/>
      <c r="B30" s="145" t="s">
        <v>23</v>
      </c>
      <c r="C30" s="146" t="s">
        <v>50</v>
      </c>
      <c r="D30" s="134" t="s">
        <v>20</v>
      </c>
      <c r="E30" s="134" t="s">
        <v>20</v>
      </c>
      <c r="F30" s="134">
        <v>3400</v>
      </c>
      <c r="G30" s="134">
        <v>0</v>
      </c>
      <c r="H30" s="134" t="s">
        <v>20</v>
      </c>
      <c r="I30" s="134" t="s">
        <v>20</v>
      </c>
      <c r="J30" s="134" t="s">
        <v>20</v>
      </c>
      <c r="K30" s="134">
        <f>D30+E30+F30+G30+H30+I30+J30</f>
        <v>3400</v>
      </c>
    </row>
    <row r="31" spans="1:11" s="77" customFormat="1" ht="28.5" x14ac:dyDescent="0.2">
      <c r="A31" s="75" t="s">
        <v>48</v>
      </c>
      <c r="B31" s="148"/>
      <c r="C31" s="149" t="s">
        <v>51</v>
      </c>
      <c r="D31" s="135">
        <f>SUM(D29:D30)</f>
        <v>0</v>
      </c>
      <c r="E31" s="135">
        <f t="shared" ref="E31:J31" si="4">SUM(E29:E30)</f>
        <v>0</v>
      </c>
      <c r="F31" s="135">
        <f t="shared" si="4"/>
        <v>3400</v>
      </c>
      <c r="G31" s="135">
        <f t="shared" si="4"/>
        <v>0</v>
      </c>
      <c r="H31" s="135">
        <f t="shared" si="4"/>
        <v>0</v>
      </c>
      <c r="I31" s="135">
        <f t="shared" si="4"/>
        <v>0</v>
      </c>
      <c r="J31" s="135">
        <f t="shared" si="4"/>
        <v>0</v>
      </c>
      <c r="K31" s="135">
        <f>D31+E31+F31+G31+H31+I31+J31</f>
        <v>3400</v>
      </c>
    </row>
    <row r="32" spans="1:11" s="77" customFormat="1" x14ac:dyDescent="0.2">
      <c r="C32" s="150"/>
    </row>
    <row r="33" spans="1:11" s="77" customFormat="1" x14ac:dyDescent="0.2">
      <c r="A33" s="139"/>
      <c r="B33" s="140"/>
      <c r="C33" s="141"/>
      <c r="D33" s="75" t="s">
        <v>1</v>
      </c>
      <c r="E33" s="75" t="s">
        <v>2</v>
      </c>
      <c r="F33" s="75" t="s">
        <v>3</v>
      </c>
      <c r="G33" s="75" t="s">
        <v>4</v>
      </c>
      <c r="H33" s="75" t="s">
        <v>5</v>
      </c>
      <c r="I33" s="75" t="s">
        <v>6</v>
      </c>
      <c r="J33" s="75" t="s">
        <v>7</v>
      </c>
      <c r="K33" s="137"/>
    </row>
    <row r="34" spans="1:11" s="77" customFormat="1" x14ac:dyDescent="0.2">
      <c r="A34" s="139"/>
      <c r="B34" s="142" t="s">
        <v>33</v>
      </c>
      <c r="C34" s="143" t="s">
        <v>52</v>
      </c>
      <c r="D34" s="76" t="s">
        <v>9</v>
      </c>
      <c r="E34" s="76" t="s">
        <v>10</v>
      </c>
      <c r="F34" s="76" t="s">
        <v>11</v>
      </c>
      <c r="G34" s="76" t="s">
        <v>12</v>
      </c>
      <c r="H34" s="76" t="s">
        <v>13</v>
      </c>
      <c r="I34" s="76" t="s">
        <v>14</v>
      </c>
      <c r="J34" s="76" t="s">
        <v>15</v>
      </c>
      <c r="K34" s="138"/>
    </row>
    <row r="35" spans="1:11" s="77" customFormat="1" ht="15" x14ac:dyDescent="0.25">
      <c r="A35" s="144" t="s">
        <v>53</v>
      </c>
      <c r="B35" s="145" t="s">
        <v>21</v>
      </c>
      <c r="C35" s="146" t="s">
        <v>54</v>
      </c>
      <c r="D35" s="134" t="s">
        <v>20</v>
      </c>
      <c r="E35" s="134" t="s">
        <v>20</v>
      </c>
      <c r="F35" s="134" t="s">
        <v>20</v>
      </c>
      <c r="G35" s="134">
        <v>6000</v>
      </c>
      <c r="H35" s="134" t="s">
        <v>20</v>
      </c>
      <c r="I35" s="134" t="s">
        <v>20</v>
      </c>
      <c r="J35" s="134" t="s">
        <v>20</v>
      </c>
      <c r="K35" s="134">
        <f>D35+E35+F35+G35+H35+I35+J35</f>
        <v>6000</v>
      </c>
    </row>
    <row r="36" spans="1:11" s="77" customFormat="1" ht="15" x14ac:dyDescent="0.2">
      <c r="A36" s="75" t="s">
        <v>53</v>
      </c>
      <c r="B36" s="148"/>
      <c r="C36" s="149" t="s">
        <v>55</v>
      </c>
      <c r="D36" s="135">
        <f>SUM(D35)</f>
        <v>0</v>
      </c>
      <c r="E36" s="135">
        <f t="shared" ref="E36:J36" si="5">SUM(E35)</f>
        <v>0</v>
      </c>
      <c r="F36" s="135">
        <f t="shared" si="5"/>
        <v>0</v>
      </c>
      <c r="G36" s="135">
        <f t="shared" si="5"/>
        <v>6000</v>
      </c>
      <c r="H36" s="135">
        <f t="shared" si="5"/>
        <v>0</v>
      </c>
      <c r="I36" s="135">
        <f t="shared" si="5"/>
        <v>0</v>
      </c>
      <c r="J36" s="135">
        <f t="shared" si="5"/>
        <v>0</v>
      </c>
      <c r="K36" s="135">
        <f>D36+E36+F36+G36+H36+I36+J36</f>
        <v>6000</v>
      </c>
    </row>
    <row r="37" spans="1:11" s="77" customFormat="1" x14ac:dyDescent="0.2">
      <c r="C37" s="150"/>
    </row>
    <row r="38" spans="1:11" s="77" customFormat="1" x14ac:dyDescent="0.2">
      <c r="A38" s="139"/>
      <c r="B38" s="140"/>
      <c r="C38" s="141"/>
      <c r="D38" s="75" t="s">
        <v>1</v>
      </c>
      <c r="E38" s="75" t="s">
        <v>2</v>
      </c>
      <c r="F38" s="75" t="s">
        <v>3</v>
      </c>
      <c r="G38" s="75" t="s">
        <v>4</v>
      </c>
      <c r="H38" s="75" t="s">
        <v>5</v>
      </c>
      <c r="I38" s="75" t="s">
        <v>6</v>
      </c>
      <c r="J38" s="75" t="s">
        <v>7</v>
      </c>
      <c r="K38" s="137"/>
    </row>
    <row r="39" spans="1:11" s="77" customFormat="1" ht="28.5" x14ac:dyDescent="0.2">
      <c r="A39" s="139"/>
      <c r="B39" s="142" t="s">
        <v>56</v>
      </c>
      <c r="C39" s="143" t="s">
        <v>57</v>
      </c>
      <c r="D39" s="76" t="s">
        <v>9</v>
      </c>
      <c r="E39" s="76" t="s">
        <v>10</v>
      </c>
      <c r="F39" s="76" t="s">
        <v>11</v>
      </c>
      <c r="G39" s="76" t="s">
        <v>12</v>
      </c>
      <c r="H39" s="76" t="s">
        <v>13</v>
      </c>
      <c r="I39" s="76" t="s">
        <v>14</v>
      </c>
      <c r="J39" s="76" t="s">
        <v>15</v>
      </c>
      <c r="K39" s="138"/>
    </row>
    <row r="40" spans="1:11" s="77" customFormat="1" ht="28.5" x14ac:dyDescent="0.25">
      <c r="A40" s="144" t="s">
        <v>58</v>
      </c>
      <c r="B40" s="145" t="s">
        <v>31</v>
      </c>
      <c r="C40" s="146" t="s">
        <v>59</v>
      </c>
      <c r="D40" s="134" t="s">
        <v>20</v>
      </c>
      <c r="E40" s="134" t="s">
        <v>20</v>
      </c>
      <c r="F40" s="134" t="s">
        <v>20</v>
      </c>
      <c r="G40" s="134">
        <v>5000</v>
      </c>
      <c r="H40" s="134" t="s">
        <v>20</v>
      </c>
      <c r="I40" s="134" t="s">
        <v>20</v>
      </c>
      <c r="J40" s="134" t="s">
        <v>20</v>
      </c>
      <c r="K40" s="134">
        <f>D40+E40+F40+G40+H40+I40+J40</f>
        <v>5000</v>
      </c>
    </row>
    <row r="41" spans="1:11" s="77" customFormat="1" ht="28.5" x14ac:dyDescent="0.2">
      <c r="A41" s="75" t="s">
        <v>58</v>
      </c>
      <c r="B41" s="148"/>
      <c r="C41" s="149" t="s">
        <v>60</v>
      </c>
      <c r="D41" s="135">
        <f>SUM(D40)</f>
        <v>0</v>
      </c>
      <c r="E41" s="135">
        <f t="shared" ref="E41:J41" si="6">SUM(E40)</f>
        <v>0</v>
      </c>
      <c r="F41" s="135">
        <f t="shared" si="6"/>
        <v>0</v>
      </c>
      <c r="G41" s="135">
        <f t="shared" si="6"/>
        <v>5000</v>
      </c>
      <c r="H41" s="135">
        <f t="shared" si="6"/>
        <v>0</v>
      </c>
      <c r="I41" s="135">
        <f t="shared" si="6"/>
        <v>0</v>
      </c>
      <c r="J41" s="135">
        <f t="shared" si="6"/>
        <v>0</v>
      </c>
      <c r="K41" s="135">
        <f>D41+E41+F41+G41+H41+I41+J41</f>
        <v>5000</v>
      </c>
    </row>
    <row r="42" spans="1:11" s="77" customFormat="1" x14ac:dyDescent="0.2">
      <c r="C42" s="150"/>
    </row>
    <row r="43" spans="1:11" s="77" customFormat="1" x14ac:dyDescent="0.2">
      <c r="A43" s="139"/>
      <c r="B43" s="140"/>
      <c r="C43" s="141"/>
      <c r="D43" s="75" t="s">
        <v>1</v>
      </c>
      <c r="E43" s="75" t="s">
        <v>2</v>
      </c>
      <c r="F43" s="75" t="s">
        <v>3</v>
      </c>
      <c r="G43" s="75" t="s">
        <v>4</v>
      </c>
      <c r="H43" s="75" t="s">
        <v>5</v>
      </c>
      <c r="I43" s="75" t="s">
        <v>6</v>
      </c>
      <c r="J43" s="75" t="s">
        <v>7</v>
      </c>
      <c r="K43" s="137"/>
    </row>
    <row r="44" spans="1:11" s="77" customFormat="1" ht="28.5" x14ac:dyDescent="0.2">
      <c r="A44" s="139"/>
      <c r="B44" s="142" t="s">
        <v>61</v>
      </c>
      <c r="C44" s="143" t="s">
        <v>62</v>
      </c>
      <c r="D44" s="76" t="s">
        <v>9</v>
      </c>
      <c r="E44" s="76" t="s">
        <v>10</v>
      </c>
      <c r="F44" s="76" t="s">
        <v>11</v>
      </c>
      <c r="G44" s="76" t="s">
        <v>12</v>
      </c>
      <c r="H44" s="76" t="s">
        <v>13</v>
      </c>
      <c r="I44" s="76" t="s">
        <v>14</v>
      </c>
      <c r="J44" s="76" t="s">
        <v>15</v>
      </c>
      <c r="K44" s="138"/>
    </row>
    <row r="45" spans="1:11" s="77" customFormat="1" ht="28.5" x14ac:dyDescent="0.25">
      <c r="A45" s="144" t="s">
        <v>63</v>
      </c>
      <c r="B45" s="145" t="s">
        <v>21</v>
      </c>
      <c r="C45" s="146" t="s">
        <v>64</v>
      </c>
      <c r="D45" s="134" t="s">
        <v>20</v>
      </c>
      <c r="E45" s="134" t="s">
        <v>20</v>
      </c>
      <c r="F45" s="134" t="s">
        <v>20</v>
      </c>
      <c r="G45" s="134">
        <v>50000</v>
      </c>
      <c r="H45" s="134" t="s">
        <v>20</v>
      </c>
      <c r="I45" s="134" t="s">
        <v>20</v>
      </c>
      <c r="J45" s="134" t="s">
        <v>20</v>
      </c>
      <c r="K45" s="134">
        <f>D45+E45+F45+G45+H45+I45+J45</f>
        <v>50000</v>
      </c>
    </row>
    <row r="46" spans="1:11" s="77" customFormat="1" ht="15" x14ac:dyDescent="0.25">
      <c r="A46" s="147"/>
      <c r="B46" s="145" t="s">
        <v>23</v>
      </c>
      <c r="C46" s="146" t="s">
        <v>65</v>
      </c>
      <c r="D46" s="134" t="s">
        <v>20</v>
      </c>
      <c r="E46" s="134" t="s">
        <v>20</v>
      </c>
      <c r="F46" s="134" t="s">
        <v>20</v>
      </c>
      <c r="G46" s="134">
        <v>100000</v>
      </c>
      <c r="H46" s="134" t="s">
        <v>20</v>
      </c>
      <c r="I46" s="134" t="s">
        <v>20</v>
      </c>
      <c r="J46" s="134" t="s">
        <v>20</v>
      </c>
      <c r="K46" s="134">
        <f>D46+E46+F46+G46+H46+I46+J46</f>
        <v>100000</v>
      </c>
    </row>
    <row r="47" spans="1:11" s="77" customFormat="1" ht="28.5" x14ac:dyDescent="0.2">
      <c r="A47" s="75" t="s">
        <v>63</v>
      </c>
      <c r="B47" s="148"/>
      <c r="C47" s="149" t="s">
        <v>66</v>
      </c>
      <c r="D47" s="135">
        <f>SUM(D45:D46)</f>
        <v>0</v>
      </c>
      <c r="E47" s="135">
        <f t="shared" ref="E47:J47" si="7">SUM(E45:E46)</f>
        <v>0</v>
      </c>
      <c r="F47" s="135">
        <f t="shared" si="7"/>
        <v>0</v>
      </c>
      <c r="G47" s="135">
        <f t="shared" si="7"/>
        <v>150000</v>
      </c>
      <c r="H47" s="135">
        <f t="shared" si="7"/>
        <v>0</v>
      </c>
      <c r="I47" s="135">
        <f t="shared" si="7"/>
        <v>0</v>
      </c>
      <c r="J47" s="135">
        <f t="shared" si="7"/>
        <v>0</v>
      </c>
      <c r="K47" s="135">
        <f>D47+E47+F47+G47+H47+I47+J47</f>
        <v>150000</v>
      </c>
    </row>
    <row r="48" spans="1:11" s="77" customFormat="1" x14ac:dyDescent="0.2">
      <c r="C48" s="150"/>
    </row>
    <row r="49" spans="1:13" s="77" customFormat="1" ht="28.5" x14ac:dyDescent="0.2">
      <c r="B49" s="142" t="s">
        <v>222</v>
      </c>
      <c r="C49" s="143" t="s">
        <v>223</v>
      </c>
      <c r="D49" s="76" t="s">
        <v>9</v>
      </c>
      <c r="E49" s="76" t="s">
        <v>10</v>
      </c>
      <c r="F49" s="76" t="s">
        <v>11</v>
      </c>
      <c r="G49" s="76" t="s">
        <v>12</v>
      </c>
      <c r="H49" s="76" t="s">
        <v>13</v>
      </c>
      <c r="I49" s="76" t="s">
        <v>14</v>
      </c>
      <c r="J49" s="76" t="s">
        <v>15</v>
      </c>
      <c r="K49" s="138"/>
    </row>
    <row r="50" spans="1:13" s="77" customFormat="1" x14ac:dyDescent="0.2">
      <c r="B50" s="145" t="s">
        <v>21</v>
      </c>
      <c r="C50" s="146" t="s">
        <v>224</v>
      </c>
      <c r="D50" s="134" t="s">
        <v>20</v>
      </c>
      <c r="E50" s="134" t="s">
        <v>20</v>
      </c>
      <c r="F50" s="134" t="s">
        <v>20</v>
      </c>
      <c r="G50" s="134">
        <v>100000</v>
      </c>
      <c r="H50" s="134" t="s">
        <v>20</v>
      </c>
      <c r="I50" s="134" t="s">
        <v>20</v>
      </c>
      <c r="J50" s="134" t="s">
        <v>20</v>
      </c>
      <c r="K50" s="134">
        <f>D50+E50+F50+G50+H50+I50+J50</f>
        <v>100000</v>
      </c>
    </row>
    <row r="51" spans="1:13" s="77" customFormat="1" ht="28.5" x14ac:dyDescent="0.2">
      <c r="B51" s="148"/>
      <c r="C51" s="149" t="s">
        <v>225</v>
      </c>
      <c r="D51" s="135">
        <f t="shared" ref="D51:J51" si="8">SUM(D49:D50)</f>
        <v>0</v>
      </c>
      <c r="E51" s="135">
        <f t="shared" si="8"/>
        <v>0</v>
      </c>
      <c r="F51" s="135">
        <f t="shared" si="8"/>
        <v>0</v>
      </c>
      <c r="G51" s="135">
        <f t="shared" si="8"/>
        <v>100000</v>
      </c>
      <c r="H51" s="135">
        <f t="shared" si="8"/>
        <v>0</v>
      </c>
      <c r="I51" s="135">
        <f t="shared" si="8"/>
        <v>0</v>
      </c>
      <c r="J51" s="135">
        <f t="shared" si="8"/>
        <v>0</v>
      </c>
      <c r="K51" s="135">
        <f>D51+E51+F51+G51+H51+I51+J51</f>
        <v>100000</v>
      </c>
    </row>
    <row r="52" spans="1:13" s="77" customFormat="1" x14ac:dyDescent="0.2">
      <c r="C52" s="150"/>
    </row>
    <row r="53" spans="1:13" s="77" customFormat="1" ht="28.5" x14ac:dyDescent="0.2">
      <c r="A53" s="139"/>
      <c r="B53" s="142" t="s">
        <v>67</v>
      </c>
      <c r="C53" s="143" t="s">
        <v>68</v>
      </c>
      <c r="D53" s="76" t="s">
        <v>9</v>
      </c>
      <c r="E53" s="76" t="s">
        <v>10</v>
      </c>
      <c r="F53" s="76" t="s">
        <v>11</v>
      </c>
      <c r="G53" s="76" t="s">
        <v>12</v>
      </c>
      <c r="H53" s="76" t="s">
        <v>13</v>
      </c>
      <c r="I53" s="76" t="s">
        <v>14</v>
      </c>
      <c r="J53" s="76" t="s">
        <v>15</v>
      </c>
      <c r="K53" s="138"/>
      <c r="M53" s="77" t="s">
        <v>92</v>
      </c>
    </row>
    <row r="54" spans="1:13" s="77" customFormat="1" ht="42.75" x14ac:dyDescent="0.25">
      <c r="A54" s="144" t="s">
        <v>69</v>
      </c>
      <c r="B54" s="145" t="s">
        <v>21</v>
      </c>
      <c r="C54" s="146" t="s">
        <v>70</v>
      </c>
      <c r="D54" s="134" t="s">
        <v>20</v>
      </c>
      <c r="E54" s="134" t="s">
        <v>20</v>
      </c>
      <c r="F54" s="134" t="s">
        <v>20</v>
      </c>
      <c r="G54" s="134">
        <v>62000</v>
      </c>
      <c r="H54" s="134" t="s">
        <v>20</v>
      </c>
      <c r="I54" s="134" t="s">
        <v>20</v>
      </c>
      <c r="J54" s="134" t="s">
        <v>20</v>
      </c>
      <c r="K54" s="134">
        <f>D54+E54+F54+G54+H54+I54+J54</f>
        <v>62000</v>
      </c>
    </row>
    <row r="55" spans="1:13" s="77" customFormat="1" ht="28.5" x14ac:dyDescent="0.2">
      <c r="A55" s="75" t="s">
        <v>69</v>
      </c>
      <c r="B55" s="148"/>
      <c r="C55" s="149" t="s">
        <v>71</v>
      </c>
      <c r="D55" s="135">
        <f>SUM(D54)</f>
        <v>0</v>
      </c>
      <c r="E55" s="135">
        <f t="shared" ref="E55:J55" si="9">SUM(E54)</f>
        <v>0</v>
      </c>
      <c r="F55" s="135">
        <f t="shared" si="9"/>
        <v>0</v>
      </c>
      <c r="G55" s="135">
        <f t="shared" si="9"/>
        <v>62000</v>
      </c>
      <c r="H55" s="135">
        <f t="shared" si="9"/>
        <v>0</v>
      </c>
      <c r="I55" s="135">
        <f t="shared" si="9"/>
        <v>0</v>
      </c>
      <c r="J55" s="135">
        <f t="shared" si="9"/>
        <v>0</v>
      </c>
      <c r="K55" s="135">
        <f>D55+E55+F55+G55+H55+I55+J55</f>
        <v>62000</v>
      </c>
    </row>
    <row r="56" spans="1:13" s="77" customFormat="1" x14ac:dyDescent="0.2">
      <c r="C56" s="150"/>
    </row>
    <row r="57" spans="1:13" s="77" customFormat="1" x14ac:dyDescent="0.2">
      <c r="A57" s="139"/>
      <c r="B57" s="140"/>
      <c r="C57" s="141"/>
      <c r="D57" s="75" t="s">
        <v>1</v>
      </c>
      <c r="E57" s="75" t="s">
        <v>2</v>
      </c>
      <c r="F57" s="75" t="s">
        <v>3</v>
      </c>
      <c r="G57" s="75" t="s">
        <v>4</v>
      </c>
      <c r="H57" s="75" t="s">
        <v>5</v>
      </c>
      <c r="I57" s="75" t="s">
        <v>6</v>
      </c>
      <c r="J57" s="75" t="s">
        <v>7</v>
      </c>
      <c r="K57" s="137"/>
    </row>
    <row r="58" spans="1:13" s="77" customFormat="1" x14ac:dyDescent="0.2">
      <c r="A58" s="139"/>
      <c r="B58" s="142" t="s">
        <v>72</v>
      </c>
      <c r="C58" s="143" t="s">
        <v>73</v>
      </c>
      <c r="D58" s="76" t="s">
        <v>9</v>
      </c>
      <c r="E58" s="76" t="s">
        <v>10</v>
      </c>
      <c r="F58" s="76" t="s">
        <v>11</v>
      </c>
      <c r="G58" s="76" t="s">
        <v>12</v>
      </c>
      <c r="H58" s="76" t="s">
        <v>13</v>
      </c>
      <c r="I58" s="76" t="s">
        <v>14</v>
      </c>
      <c r="J58" s="76" t="s">
        <v>15</v>
      </c>
      <c r="K58" s="138"/>
    </row>
    <row r="59" spans="1:13" s="77" customFormat="1" ht="15" x14ac:dyDescent="0.25">
      <c r="A59" s="144" t="s">
        <v>74</v>
      </c>
      <c r="B59" s="145" t="s">
        <v>17</v>
      </c>
      <c r="C59" s="146" t="s">
        <v>75</v>
      </c>
      <c r="D59" s="134" t="s">
        <v>20</v>
      </c>
      <c r="E59" s="134" t="s">
        <v>20</v>
      </c>
      <c r="F59" s="134" t="s">
        <v>20</v>
      </c>
      <c r="G59" s="134" t="s">
        <v>20</v>
      </c>
      <c r="H59" s="134" t="s">
        <v>20</v>
      </c>
      <c r="I59" s="134" t="s">
        <v>20</v>
      </c>
      <c r="J59" s="134">
        <f>108919-23500</f>
        <v>85419</v>
      </c>
      <c r="K59" s="134">
        <f>D59+E59+F59+G59+H59+I59+J59</f>
        <v>85419</v>
      </c>
    </row>
    <row r="60" spans="1:13" s="77" customFormat="1" ht="15" x14ac:dyDescent="0.25">
      <c r="A60" s="147"/>
      <c r="B60" s="145" t="s">
        <v>21</v>
      </c>
      <c r="C60" s="146" t="s">
        <v>76</v>
      </c>
      <c r="D60" s="134" t="s">
        <v>20</v>
      </c>
      <c r="E60" s="134" t="s">
        <v>20</v>
      </c>
      <c r="F60" s="134" t="s">
        <v>20</v>
      </c>
      <c r="G60" s="134" t="s">
        <v>20</v>
      </c>
      <c r="H60" s="134" t="s">
        <v>20</v>
      </c>
      <c r="I60" s="134" t="s">
        <v>20</v>
      </c>
      <c r="J60" s="134">
        <f>100000-100000</f>
        <v>0</v>
      </c>
      <c r="K60" s="134">
        <f>D60+E60+F60+G60+H60+I60+J60</f>
        <v>0</v>
      </c>
    </row>
    <row r="61" spans="1:13" s="77" customFormat="1" ht="15" x14ac:dyDescent="0.25">
      <c r="A61" s="147"/>
      <c r="B61" s="145" t="s">
        <v>23</v>
      </c>
      <c r="C61" s="146" t="s">
        <v>77</v>
      </c>
      <c r="D61" s="134" t="s">
        <v>20</v>
      </c>
      <c r="E61" s="134" t="s">
        <v>20</v>
      </c>
      <c r="F61" s="134" t="s">
        <v>20</v>
      </c>
      <c r="G61" s="134" t="s">
        <v>20</v>
      </c>
      <c r="H61" s="134" t="s">
        <v>20</v>
      </c>
      <c r="I61" s="134" t="s">
        <v>20</v>
      </c>
      <c r="J61" s="134">
        <f>70000-50000</f>
        <v>20000</v>
      </c>
      <c r="K61" s="134">
        <f>D61+E61+F61+G61+H61+I61+J61</f>
        <v>20000</v>
      </c>
    </row>
    <row r="62" spans="1:13" s="77" customFormat="1" ht="28.5" x14ac:dyDescent="0.2">
      <c r="A62" s="75" t="s">
        <v>74</v>
      </c>
      <c r="B62" s="148"/>
      <c r="C62" s="149" t="s">
        <v>78</v>
      </c>
      <c r="D62" s="135">
        <f>SUM(D59:D61)</f>
        <v>0</v>
      </c>
      <c r="E62" s="135">
        <f t="shared" ref="E62:J62" si="10">SUM(E59:E61)</f>
        <v>0</v>
      </c>
      <c r="F62" s="135">
        <f t="shared" si="10"/>
        <v>0</v>
      </c>
      <c r="G62" s="135">
        <f t="shared" si="10"/>
        <v>0</v>
      </c>
      <c r="H62" s="135">
        <f t="shared" si="10"/>
        <v>0</v>
      </c>
      <c r="I62" s="135">
        <f t="shared" si="10"/>
        <v>0</v>
      </c>
      <c r="J62" s="135">
        <f t="shared" si="10"/>
        <v>105419</v>
      </c>
      <c r="K62" s="135">
        <f>D62+E62+F62+G62+H62+I62+J62</f>
        <v>105419</v>
      </c>
    </row>
    <row r="63" spans="1:13" s="77" customFormat="1" x14ac:dyDescent="0.2">
      <c r="C63" s="150"/>
    </row>
    <row r="64" spans="1:13" s="77" customFormat="1" ht="15" x14ac:dyDescent="0.2">
      <c r="A64" s="153"/>
      <c r="B64" s="154"/>
      <c r="C64" s="155"/>
      <c r="D64" s="79"/>
      <c r="E64" s="79"/>
      <c r="F64" s="79"/>
      <c r="G64" s="79"/>
      <c r="H64" s="79"/>
      <c r="I64" s="79"/>
      <c r="J64" s="79"/>
      <c r="K64" s="79"/>
    </row>
    <row r="65" spans="1:11" s="77" customFormat="1" ht="15" x14ac:dyDescent="0.2">
      <c r="A65" s="153"/>
      <c r="B65" s="251" t="s">
        <v>79</v>
      </c>
      <c r="C65" s="251"/>
      <c r="D65" s="136">
        <f>D62+D55+D47+D41+D36+D31+D25+D20+D14+D51</f>
        <v>257769.23</v>
      </c>
      <c r="E65" s="136">
        <f t="shared" ref="E65:K65" si="11">E62+E55+E47+E41+E36+E31+E25+E20+E14+E51</f>
        <v>1163777.46</v>
      </c>
      <c r="F65" s="136">
        <f t="shared" si="11"/>
        <v>12533652.24</v>
      </c>
      <c r="G65" s="136">
        <f t="shared" si="11"/>
        <v>8413000</v>
      </c>
      <c r="H65" s="136">
        <f t="shared" si="11"/>
        <v>500</v>
      </c>
      <c r="I65" s="136">
        <f t="shared" si="11"/>
        <v>131176.07</v>
      </c>
      <c r="J65" s="136">
        <f t="shared" si="11"/>
        <v>227519</v>
      </c>
      <c r="K65" s="136">
        <f t="shared" si="11"/>
        <v>22727394</v>
      </c>
    </row>
  </sheetData>
  <mergeCells count="3">
    <mergeCell ref="B2:C3"/>
    <mergeCell ref="B65:C65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L26"/>
  <sheetViews>
    <sheetView zoomScale="70" zoomScaleNormal="70" workbookViewId="0">
      <selection activeCell="D23" sqref="D23:G23"/>
    </sheetView>
  </sheetViews>
  <sheetFormatPr defaultRowHeight="12.75" x14ac:dyDescent="0.2"/>
  <cols>
    <col min="1" max="1" width="5.7109375" style="180" customWidth="1"/>
    <col min="2" max="2" width="6.140625" style="180" customWidth="1"/>
    <col min="3" max="3" width="67.42578125" style="181" customWidth="1"/>
    <col min="4" max="4" width="26.85546875" style="180" customWidth="1"/>
    <col min="5" max="5" width="19.140625" style="180" customWidth="1"/>
    <col min="6" max="6" width="16.42578125" style="180" customWidth="1"/>
    <col min="7" max="7" width="22.7109375" style="180" customWidth="1"/>
    <col min="8" max="8" width="14.7109375" style="180" customWidth="1"/>
    <col min="9" max="9" width="15.42578125" style="180" customWidth="1"/>
    <col min="10" max="10" width="16.5703125" style="180" customWidth="1"/>
    <col min="11" max="11" width="16.140625" style="180" customWidth="1"/>
    <col min="12" max="12" width="17.7109375" style="180" customWidth="1"/>
    <col min="13" max="16384" width="9.140625" style="180"/>
  </cols>
  <sheetData>
    <row r="1" spans="2:12" s="157" customFormat="1" ht="65.25" customHeight="1" x14ac:dyDescent="0.15">
      <c r="B1" s="259" t="s">
        <v>90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2:12" s="157" customFormat="1" ht="5.25" customHeight="1" x14ac:dyDescent="0.15">
      <c r="C2" s="158"/>
    </row>
    <row r="3" spans="2:12" s="160" customFormat="1" ht="75" customHeight="1" x14ac:dyDescent="0.2">
      <c r="B3" s="253" t="s">
        <v>0</v>
      </c>
      <c r="C3" s="254"/>
      <c r="D3" s="159" t="s">
        <v>83</v>
      </c>
      <c r="E3" s="159" t="s">
        <v>84</v>
      </c>
      <c r="F3" s="159" t="s">
        <v>85</v>
      </c>
      <c r="G3" s="159" t="s">
        <v>86</v>
      </c>
      <c r="H3" s="159" t="s">
        <v>226</v>
      </c>
      <c r="I3" s="159" t="s">
        <v>235</v>
      </c>
      <c r="J3" s="159" t="s">
        <v>236</v>
      </c>
      <c r="K3" s="159" t="s">
        <v>237</v>
      </c>
      <c r="L3" s="159" t="s">
        <v>238</v>
      </c>
    </row>
    <row r="4" spans="2:12" s="160" customFormat="1" ht="36.75" customHeight="1" x14ac:dyDescent="0.2">
      <c r="B4" s="255"/>
      <c r="C4" s="256"/>
      <c r="D4" s="161" t="s">
        <v>87</v>
      </c>
      <c r="E4" s="161" t="s">
        <v>88</v>
      </c>
      <c r="F4" s="161" t="s">
        <v>89</v>
      </c>
      <c r="G4" s="161" t="s">
        <v>82</v>
      </c>
      <c r="H4" s="161" t="s">
        <v>227</v>
      </c>
      <c r="I4" s="161" t="s">
        <v>229</v>
      </c>
      <c r="J4" s="161" t="s">
        <v>230</v>
      </c>
      <c r="K4" s="161" t="s">
        <v>231</v>
      </c>
      <c r="L4" s="161" t="s">
        <v>232</v>
      </c>
    </row>
    <row r="5" spans="2:12" s="160" customFormat="1" ht="14.25" x14ac:dyDescent="0.2">
      <c r="B5" s="162"/>
      <c r="C5" s="163"/>
      <c r="D5" s="164" t="s">
        <v>82</v>
      </c>
      <c r="E5" s="165"/>
      <c r="F5" s="165"/>
      <c r="G5" s="166"/>
      <c r="H5" s="166"/>
      <c r="I5" s="166"/>
      <c r="J5" s="166"/>
      <c r="K5" s="166"/>
      <c r="L5" s="166"/>
    </row>
    <row r="6" spans="2:12" s="160" customFormat="1" ht="14.25" x14ac:dyDescent="0.2">
      <c r="B6" s="167" t="s">
        <v>17</v>
      </c>
      <c r="C6" s="168" t="s">
        <v>18</v>
      </c>
      <c r="D6" s="169" t="s">
        <v>87</v>
      </c>
      <c r="E6" s="169" t="s">
        <v>88</v>
      </c>
      <c r="F6" s="169" t="s">
        <v>89</v>
      </c>
      <c r="G6" s="170"/>
      <c r="H6" s="170"/>
      <c r="I6" s="170"/>
      <c r="J6" s="170"/>
      <c r="K6" s="170"/>
      <c r="L6" s="170"/>
    </row>
    <row r="7" spans="2:12" s="160" customFormat="1" ht="14.25" x14ac:dyDescent="0.2">
      <c r="B7" s="171" t="s">
        <v>23</v>
      </c>
      <c r="C7" s="172" t="s">
        <v>24</v>
      </c>
      <c r="D7" s="173">
        <f>41500+6971.02+2000</f>
        <v>50471.020000000004</v>
      </c>
      <c r="E7" s="173" t="s">
        <v>20</v>
      </c>
      <c r="F7" s="173" t="s">
        <v>20</v>
      </c>
      <c r="G7" s="174">
        <f>D7+E7+F7</f>
        <v>50471.020000000004</v>
      </c>
      <c r="H7" s="174">
        <v>50000</v>
      </c>
      <c r="I7" s="174">
        <v>0</v>
      </c>
      <c r="J7" s="174">
        <v>0</v>
      </c>
      <c r="K7" s="174">
        <v>0</v>
      </c>
      <c r="L7" s="174">
        <f t="shared" ref="L7:L12" si="0">K7+J7+I7+H7</f>
        <v>50000</v>
      </c>
    </row>
    <row r="8" spans="2:12" s="160" customFormat="1" ht="14.25" x14ac:dyDescent="0.2">
      <c r="B8" s="171" t="s">
        <v>25</v>
      </c>
      <c r="C8" s="172" t="s">
        <v>26</v>
      </c>
      <c r="D8" s="173">
        <v>0</v>
      </c>
      <c r="E8" s="173">
        <v>0</v>
      </c>
      <c r="F8" s="173">
        <v>0</v>
      </c>
      <c r="G8" s="174">
        <f>D8+E8+F8</f>
        <v>0</v>
      </c>
      <c r="H8" s="173">
        <v>0</v>
      </c>
      <c r="I8" s="173">
        <v>0</v>
      </c>
      <c r="J8" s="173">
        <v>0</v>
      </c>
      <c r="K8" s="173">
        <v>0</v>
      </c>
      <c r="L8" s="174">
        <f t="shared" si="0"/>
        <v>0</v>
      </c>
    </row>
    <row r="9" spans="2:12" s="160" customFormat="1" ht="14.25" x14ac:dyDescent="0.2">
      <c r="B9" s="171" t="s">
        <v>27</v>
      </c>
      <c r="C9" s="172" t="s">
        <v>28</v>
      </c>
      <c r="D9" s="173">
        <f>674476.01-75000</f>
        <v>599476.01</v>
      </c>
      <c r="E9" s="173" t="s">
        <v>20</v>
      </c>
      <c r="F9" s="173">
        <v>0</v>
      </c>
      <c r="G9" s="174">
        <f>D9+E9+F9</f>
        <v>599476.01</v>
      </c>
      <c r="H9" s="174">
        <v>0</v>
      </c>
      <c r="I9" s="174">
        <v>0</v>
      </c>
      <c r="J9" s="174">
        <v>0</v>
      </c>
      <c r="K9" s="174">
        <v>0</v>
      </c>
      <c r="L9" s="174">
        <f t="shared" si="0"/>
        <v>0</v>
      </c>
    </row>
    <row r="10" spans="2:12" s="160" customFormat="1" ht="14.25" x14ac:dyDescent="0.2">
      <c r="B10" s="171" t="s">
        <v>29</v>
      </c>
      <c r="C10" s="172" t="s">
        <v>30</v>
      </c>
      <c r="D10" s="173">
        <f>986267.35+90500</f>
        <v>1076767.3500000001</v>
      </c>
      <c r="E10" s="173" t="s">
        <v>20</v>
      </c>
      <c r="F10" s="173" t="s">
        <v>20</v>
      </c>
      <c r="G10" s="174">
        <f>D10+E10+F10</f>
        <v>1076767.3500000001</v>
      </c>
      <c r="H10" s="174">
        <v>0</v>
      </c>
      <c r="I10" s="174">
        <v>0</v>
      </c>
      <c r="J10" s="174">
        <v>0</v>
      </c>
      <c r="K10" s="174">
        <v>0</v>
      </c>
      <c r="L10" s="174">
        <f t="shared" si="0"/>
        <v>0</v>
      </c>
    </row>
    <row r="11" spans="2:12" s="160" customFormat="1" ht="14.25" x14ac:dyDescent="0.2">
      <c r="B11" s="171" t="s">
        <v>33</v>
      </c>
      <c r="C11" s="172" t="s">
        <v>34</v>
      </c>
      <c r="D11" s="173">
        <f>17000+8604.96-7000</f>
        <v>18604.96</v>
      </c>
      <c r="E11" s="173" t="s">
        <v>20</v>
      </c>
      <c r="F11" s="173" t="s">
        <v>20</v>
      </c>
      <c r="G11" s="174">
        <f>D11+E11+F11</f>
        <v>18604.96</v>
      </c>
      <c r="H11" s="174">
        <v>0</v>
      </c>
      <c r="I11" s="174">
        <v>0</v>
      </c>
      <c r="J11" s="174">
        <v>0</v>
      </c>
      <c r="K11" s="174">
        <v>0</v>
      </c>
      <c r="L11" s="174">
        <f t="shared" si="0"/>
        <v>0</v>
      </c>
    </row>
    <row r="12" spans="2:12" s="160" customFormat="1" ht="28.5" x14ac:dyDescent="0.2">
      <c r="B12" s="175"/>
      <c r="C12" s="176" t="s">
        <v>35</v>
      </c>
      <c r="D12" s="177">
        <f t="shared" ref="D12:K12" si="1">SUM(D7:D11)</f>
        <v>1745319.34</v>
      </c>
      <c r="E12" s="177">
        <f t="shared" si="1"/>
        <v>0</v>
      </c>
      <c r="F12" s="177">
        <f t="shared" si="1"/>
        <v>0</v>
      </c>
      <c r="G12" s="177">
        <f t="shared" si="1"/>
        <v>1745319.34</v>
      </c>
      <c r="H12" s="177">
        <f t="shared" si="1"/>
        <v>50000</v>
      </c>
      <c r="I12" s="177">
        <f t="shared" si="1"/>
        <v>0</v>
      </c>
      <c r="J12" s="177">
        <f t="shared" si="1"/>
        <v>0</v>
      </c>
      <c r="K12" s="177">
        <f t="shared" si="1"/>
        <v>0</v>
      </c>
      <c r="L12" s="177">
        <f t="shared" si="0"/>
        <v>50000</v>
      </c>
    </row>
    <row r="13" spans="2:12" s="160" customFormat="1" ht="14.25" x14ac:dyDescent="0.2">
      <c r="C13" s="178"/>
    </row>
    <row r="14" spans="2:12" s="160" customFormat="1" ht="28.5" x14ac:dyDescent="0.2">
      <c r="B14" s="167" t="s">
        <v>25</v>
      </c>
      <c r="C14" s="168" t="s">
        <v>36</v>
      </c>
      <c r="D14" s="169" t="s">
        <v>87</v>
      </c>
      <c r="E14" s="169" t="s">
        <v>88</v>
      </c>
      <c r="F14" s="169" t="s">
        <v>89</v>
      </c>
      <c r="G14" s="170"/>
      <c r="H14" s="170"/>
      <c r="I14" s="170"/>
      <c r="J14" s="170"/>
      <c r="K14" s="170"/>
      <c r="L14" s="170"/>
    </row>
    <row r="15" spans="2:12" s="160" customFormat="1" ht="14.25" x14ac:dyDescent="0.2">
      <c r="B15" s="171" t="s">
        <v>17</v>
      </c>
      <c r="C15" s="172" t="s">
        <v>38</v>
      </c>
      <c r="D15" s="173">
        <v>10000</v>
      </c>
      <c r="E15" s="173">
        <f>90000-70000</f>
        <v>20000</v>
      </c>
      <c r="F15" s="173" t="s">
        <v>20</v>
      </c>
      <c r="G15" s="174">
        <f>D15+E15+F15</f>
        <v>30000</v>
      </c>
      <c r="H15" s="174">
        <v>0</v>
      </c>
      <c r="I15" s="174">
        <v>0</v>
      </c>
      <c r="J15" s="174">
        <v>0</v>
      </c>
      <c r="K15" s="174">
        <v>0</v>
      </c>
      <c r="L15" s="174">
        <f>K15+J15+I15+H15</f>
        <v>0</v>
      </c>
    </row>
    <row r="16" spans="2:12" s="160" customFormat="1" ht="14.25" x14ac:dyDescent="0.2">
      <c r="B16" s="171" t="s">
        <v>21</v>
      </c>
      <c r="C16" s="172" t="s">
        <v>39</v>
      </c>
      <c r="D16" s="173">
        <f>4500+35000</f>
        <v>39500</v>
      </c>
      <c r="E16" s="173" t="s">
        <v>20</v>
      </c>
      <c r="F16" s="173" t="s">
        <v>20</v>
      </c>
      <c r="G16" s="174">
        <f>D16+E16+F16</f>
        <v>39500</v>
      </c>
      <c r="H16" s="174">
        <v>0</v>
      </c>
      <c r="I16" s="174">
        <v>0</v>
      </c>
      <c r="J16" s="174">
        <v>0</v>
      </c>
      <c r="K16" s="174">
        <v>0</v>
      </c>
      <c r="L16" s="174">
        <f>K16+J16+I16+H16</f>
        <v>0</v>
      </c>
    </row>
    <row r="17" spans="2:12" s="160" customFormat="1" ht="28.5" x14ac:dyDescent="0.2">
      <c r="B17" s="175"/>
      <c r="C17" s="176" t="s">
        <v>40</v>
      </c>
      <c r="D17" s="177">
        <f t="shared" ref="D17:K17" si="2">SUM(D15:D16)</f>
        <v>49500</v>
      </c>
      <c r="E17" s="177">
        <f t="shared" si="2"/>
        <v>20000</v>
      </c>
      <c r="F17" s="177">
        <f t="shared" si="2"/>
        <v>0</v>
      </c>
      <c r="G17" s="177">
        <f t="shared" si="2"/>
        <v>69500</v>
      </c>
      <c r="H17" s="177">
        <f t="shared" si="2"/>
        <v>0</v>
      </c>
      <c r="I17" s="177">
        <f t="shared" si="2"/>
        <v>0</v>
      </c>
      <c r="J17" s="177">
        <f t="shared" si="2"/>
        <v>0</v>
      </c>
      <c r="K17" s="177">
        <f t="shared" si="2"/>
        <v>0</v>
      </c>
      <c r="L17" s="177">
        <f>K17+J17+I17+H17</f>
        <v>0</v>
      </c>
    </row>
    <row r="18" spans="2:12" s="160" customFormat="1" ht="14.25" x14ac:dyDescent="0.2">
      <c r="C18" s="178"/>
    </row>
    <row r="19" spans="2:12" s="160" customFormat="1" ht="14.25" x14ac:dyDescent="0.2">
      <c r="B19" s="167" t="s">
        <v>72</v>
      </c>
      <c r="C19" s="168" t="s">
        <v>73</v>
      </c>
      <c r="D19" s="169" t="s">
        <v>87</v>
      </c>
      <c r="E19" s="169" t="s">
        <v>88</v>
      </c>
      <c r="F19" s="169" t="s">
        <v>89</v>
      </c>
      <c r="G19" s="170"/>
      <c r="H19" s="170"/>
      <c r="I19" s="170"/>
      <c r="J19" s="170"/>
      <c r="K19" s="170"/>
      <c r="L19" s="170"/>
    </row>
    <row r="20" spans="2:12" s="160" customFormat="1" ht="14.25" x14ac:dyDescent="0.2">
      <c r="B20" s="171" t="s">
        <v>23</v>
      </c>
      <c r="C20" s="172" t="s">
        <v>77</v>
      </c>
      <c r="D20" s="173" t="s">
        <v>20</v>
      </c>
      <c r="E20" s="173" t="s">
        <v>20</v>
      </c>
      <c r="F20" s="173">
        <v>45000</v>
      </c>
      <c r="G20" s="174">
        <f>D20+E20+F20</f>
        <v>45000</v>
      </c>
      <c r="H20" s="174">
        <v>0</v>
      </c>
      <c r="I20" s="174">
        <v>0</v>
      </c>
      <c r="J20" s="174">
        <v>0</v>
      </c>
      <c r="K20" s="174">
        <v>0</v>
      </c>
      <c r="L20" s="174">
        <f>K20+J20+I20+H20</f>
        <v>0</v>
      </c>
    </row>
    <row r="21" spans="2:12" s="160" customFormat="1" ht="15" x14ac:dyDescent="0.2">
      <c r="B21" s="175"/>
      <c r="C21" s="176" t="s">
        <v>78</v>
      </c>
      <c r="D21" s="177">
        <f t="shared" ref="D21:K21" si="3">SUM(D20)</f>
        <v>0</v>
      </c>
      <c r="E21" s="177">
        <f t="shared" si="3"/>
        <v>0</v>
      </c>
      <c r="F21" s="177">
        <f t="shared" si="3"/>
        <v>45000</v>
      </c>
      <c r="G21" s="177">
        <f t="shared" si="3"/>
        <v>45000</v>
      </c>
      <c r="H21" s="177">
        <f t="shared" si="3"/>
        <v>0</v>
      </c>
      <c r="I21" s="177">
        <f t="shared" si="3"/>
        <v>0</v>
      </c>
      <c r="J21" s="177">
        <f t="shared" si="3"/>
        <v>0</v>
      </c>
      <c r="K21" s="177">
        <f t="shared" si="3"/>
        <v>0</v>
      </c>
      <c r="L21" s="177">
        <f>K21+J21+I21+H21</f>
        <v>0</v>
      </c>
    </row>
    <row r="22" spans="2:12" s="160" customFormat="1" ht="14.25" x14ac:dyDescent="0.2">
      <c r="C22" s="178"/>
    </row>
    <row r="23" spans="2:12" s="160" customFormat="1" ht="15" x14ac:dyDescent="0.2">
      <c r="B23" s="257" t="s">
        <v>79</v>
      </c>
      <c r="C23" s="258"/>
      <c r="D23" s="179">
        <f t="shared" ref="D23:L23" si="4">D21+D17+D12</f>
        <v>1794819.34</v>
      </c>
      <c r="E23" s="179">
        <f t="shared" si="4"/>
        <v>20000</v>
      </c>
      <c r="F23" s="179">
        <f t="shared" si="4"/>
        <v>45000</v>
      </c>
      <c r="G23" s="179">
        <f t="shared" si="4"/>
        <v>1859819.34</v>
      </c>
      <c r="H23" s="179">
        <f t="shared" si="4"/>
        <v>50000</v>
      </c>
      <c r="I23" s="179">
        <f t="shared" si="4"/>
        <v>0</v>
      </c>
      <c r="J23" s="179">
        <f t="shared" si="4"/>
        <v>0</v>
      </c>
      <c r="K23" s="179">
        <f t="shared" si="4"/>
        <v>0</v>
      </c>
      <c r="L23" s="179">
        <f t="shared" si="4"/>
        <v>50000</v>
      </c>
    </row>
    <row r="25" spans="2:12" x14ac:dyDescent="0.2">
      <c r="D25" s="181"/>
      <c r="E25" s="181"/>
      <c r="F25" s="181"/>
      <c r="G25" s="181"/>
      <c r="H25" s="181"/>
    </row>
    <row r="26" spans="2:12" x14ac:dyDescent="0.2">
      <c r="D26" s="181"/>
      <c r="E26" s="181"/>
      <c r="F26" s="181"/>
      <c r="G26" s="181"/>
      <c r="H26" s="181"/>
    </row>
  </sheetData>
  <mergeCells count="3">
    <mergeCell ref="B3:C4"/>
    <mergeCell ref="B23:C23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26"/>
  <sheetViews>
    <sheetView zoomScaleNormal="100" zoomScaleSheetLayoutView="70" workbookViewId="0">
      <selection activeCell="D10" sqref="D10"/>
    </sheetView>
  </sheetViews>
  <sheetFormatPr defaultRowHeight="12.75" x14ac:dyDescent="0.2"/>
  <cols>
    <col min="1" max="1" width="6" style="180" customWidth="1"/>
    <col min="2" max="2" width="3.5703125" style="180" customWidth="1"/>
    <col min="3" max="3" width="52.28515625" style="181" customWidth="1"/>
    <col min="4" max="4" width="21.5703125" style="180" customWidth="1"/>
    <col min="5" max="5" width="16.5703125" style="180" customWidth="1"/>
    <col min="6" max="6" width="17.5703125" style="180" customWidth="1"/>
    <col min="7" max="7" width="16.28515625" style="180" customWidth="1"/>
    <col min="8" max="8" width="14.7109375" style="180" customWidth="1"/>
    <col min="9" max="9" width="15.42578125" style="180" customWidth="1"/>
    <col min="10" max="10" width="16.5703125" style="180" customWidth="1"/>
    <col min="11" max="11" width="16.140625" style="180" customWidth="1"/>
    <col min="12" max="12" width="17.7109375" style="180" customWidth="1"/>
    <col min="13" max="13" width="3.5703125" style="180" customWidth="1"/>
    <col min="14" max="14" width="69.5703125" style="180" customWidth="1"/>
    <col min="15" max="16384" width="9.140625" style="180"/>
  </cols>
  <sheetData>
    <row r="1" spans="1:14" s="157" customFormat="1" ht="57.75" customHeight="1" x14ac:dyDescent="0.15">
      <c r="A1" s="259" t="s">
        <v>91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182"/>
      <c r="N1" s="182"/>
    </row>
    <row r="2" spans="1:14" s="157" customFormat="1" ht="18" customHeight="1" x14ac:dyDescent="0.2">
      <c r="A2" s="183"/>
      <c r="B2" s="184"/>
      <c r="C2" s="185"/>
      <c r="D2" s="186" t="s">
        <v>82</v>
      </c>
      <c r="E2" s="187"/>
      <c r="F2" s="187"/>
      <c r="G2" s="188" t="s">
        <v>82</v>
      </c>
      <c r="M2" s="183"/>
    </row>
    <row r="3" spans="1:14" s="189" customFormat="1" ht="75" x14ac:dyDescent="0.2">
      <c r="B3" s="260" t="s">
        <v>0</v>
      </c>
      <c r="C3" s="261"/>
      <c r="D3" s="190" t="s">
        <v>83</v>
      </c>
      <c r="E3" s="190" t="s">
        <v>84</v>
      </c>
      <c r="F3" s="190" t="s">
        <v>85</v>
      </c>
      <c r="G3" s="190" t="s">
        <v>86</v>
      </c>
      <c r="H3" s="159" t="s">
        <v>226</v>
      </c>
      <c r="I3" s="159" t="s">
        <v>235</v>
      </c>
      <c r="J3" s="159" t="s">
        <v>236</v>
      </c>
      <c r="K3" s="159" t="s">
        <v>237</v>
      </c>
      <c r="L3" s="159" t="s">
        <v>238</v>
      </c>
    </row>
    <row r="4" spans="1:14" s="189" customFormat="1" ht="15" x14ac:dyDescent="0.2">
      <c r="B4" s="262"/>
      <c r="C4" s="263"/>
      <c r="D4" s="191" t="s">
        <v>87</v>
      </c>
      <c r="E4" s="191" t="s">
        <v>88</v>
      </c>
      <c r="F4" s="191" t="s">
        <v>89</v>
      </c>
      <c r="G4" s="191" t="s">
        <v>82</v>
      </c>
      <c r="H4" s="161" t="s">
        <v>227</v>
      </c>
      <c r="I4" s="161" t="s">
        <v>229</v>
      </c>
      <c r="J4" s="161" t="s">
        <v>230</v>
      </c>
      <c r="K4" s="161" t="s">
        <v>231</v>
      </c>
      <c r="L4" s="161" t="s">
        <v>232</v>
      </c>
    </row>
    <row r="5" spans="1:14" s="189" customFormat="1" ht="14.25" x14ac:dyDescent="0.2">
      <c r="A5" s="192"/>
      <c r="B5" s="193"/>
      <c r="C5" s="194"/>
      <c r="D5" s="195" t="s">
        <v>82</v>
      </c>
      <c r="E5" s="196"/>
      <c r="F5" s="196"/>
      <c r="G5" s="197"/>
      <c r="H5" s="166"/>
      <c r="I5" s="166"/>
      <c r="J5" s="166"/>
      <c r="K5" s="166"/>
      <c r="L5" s="166"/>
    </row>
    <row r="6" spans="1:14" s="189" customFormat="1" ht="25.5" x14ac:dyDescent="0.2">
      <c r="A6" s="192"/>
      <c r="B6" s="198" t="s">
        <v>17</v>
      </c>
      <c r="C6" s="199" t="s">
        <v>18</v>
      </c>
      <c r="D6" s="200" t="s">
        <v>87</v>
      </c>
      <c r="E6" s="200" t="s">
        <v>88</v>
      </c>
      <c r="F6" s="200" t="s">
        <v>89</v>
      </c>
      <c r="G6" s="201"/>
      <c r="H6" s="170"/>
      <c r="I6" s="170"/>
      <c r="J6" s="170"/>
      <c r="K6" s="170"/>
      <c r="L6" s="170"/>
    </row>
    <row r="7" spans="1:14" s="189" customFormat="1" ht="25.5" x14ac:dyDescent="0.2">
      <c r="A7" s="202" t="s">
        <v>16</v>
      </c>
      <c r="B7" s="203" t="s">
        <v>23</v>
      </c>
      <c r="C7" s="204" t="s">
        <v>24</v>
      </c>
      <c r="D7" s="205">
        <v>36500</v>
      </c>
      <c r="E7" s="205" t="s">
        <v>20</v>
      </c>
      <c r="F7" s="205" t="s">
        <v>20</v>
      </c>
      <c r="G7" s="206">
        <f>D7+E7+F7</f>
        <v>36500</v>
      </c>
      <c r="H7" s="174">
        <v>0</v>
      </c>
      <c r="I7" s="174">
        <v>0</v>
      </c>
      <c r="J7" s="174">
        <v>0</v>
      </c>
      <c r="K7" s="174">
        <v>0</v>
      </c>
      <c r="L7" s="174">
        <f t="shared" ref="L7:L12" si="0">K7+J7+I7+H7</f>
        <v>0</v>
      </c>
    </row>
    <row r="8" spans="1:14" s="189" customFormat="1" ht="14.25" x14ac:dyDescent="0.2">
      <c r="A8" s="202"/>
      <c r="B8" s="203" t="s">
        <v>25</v>
      </c>
      <c r="C8" s="204" t="s">
        <v>26</v>
      </c>
      <c r="D8" s="205">
        <v>0</v>
      </c>
      <c r="E8" s="205">
        <v>0</v>
      </c>
      <c r="F8" s="205">
        <v>0</v>
      </c>
      <c r="G8" s="206">
        <f>D8+E8+F8</f>
        <v>0</v>
      </c>
      <c r="H8" s="173">
        <v>0</v>
      </c>
      <c r="I8" s="173">
        <v>0</v>
      </c>
      <c r="J8" s="173">
        <v>0</v>
      </c>
      <c r="K8" s="173">
        <v>0</v>
      </c>
      <c r="L8" s="174">
        <f t="shared" si="0"/>
        <v>0</v>
      </c>
    </row>
    <row r="9" spans="1:14" s="189" customFormat="1" ht="14.25" x14ac:dyDescent="0.2">
      <c r="A9" s="207"/>
      <c r="B9" s="203" t="s">
        <v>27</v>
      </c>
      <c r="C9" s="204" t="s">
        <v>28</v>
      </c>
      <c r="D9" s="205">
        <v>181000</v>
      </c>
      <c r="E9" s="205" t="s">
        <v>20</v>
      </c>
      <c r="F9" s="205">
        <v>0</v>
      </c>
      <c r="G9" s="206">
        <f>D9+E9+F9</f>
        <v>181000</v>
      </c>
      <c r="H9" s="174">
        <v>0</v>
      </c>
      <c r="I9" s="174">
        <v>0</v>
      </c>
      <c r="J9" s="174">
        <v>0</v>
      </c>
      <c r="K9" s="174">
        <v>0</v>
      </c>
      <c r="L9" s="174">
        <f t="shared" si="0"/>
        <v>0</v>
      </c>
    </row>
    <row r="10" spans="1:14" s="189" customFormat="1" ht="14.25" x14ac:dyDescent="0.2">
      <c r="A10" s="207"/>
      <c r="B10" s="203" t="s">
        <v>29</v>
      </c>
      <c r="C10" s="204" t="s">
        <v>30</v>
      </c>
      <c r="D10" s="205">
        <v>215156</v>
      </c>
      <c r="E10" s="205" t="s">
        <v>20</v>
      </c>
      <c r="F10" s="205" t="s">
        <v>20</v>
      </c>
      <c r="G10" s="206">
        <f>D10+E10+F10</f>
        <v>215156</v>
      </c>
      <c r="H10" s="174">
        <v>0</v>
      </c>
      <c r="I10" s="174">
        <v>0</v>
      </c>
      <c r="J10" s="174">
        <v>0</v>
      </c>
      <c r="K10" s="174">
        <v>0</v>
      </c>
      <c r="L10" s="174">
        <f t="shared" si="0"/>
        <v>0</v>
      </c>
    </row>
    <row r="11" spans="1:14" s="189" customFormat="1" ht="14.25" x14ac:dyDescent="0.2">
      <c r="A11" s="207"/>
      <c r="B11" s="203" t="s">
        <v>33</v>
      </c>
      <c r="C11" s="204" t="s">
        <v>34</v>
      </c>
      <c r="D11" s="205">
        <v>4000</v>
      </c>
      <c r="E11" s="205" t="s">
        <v>20</v>
      </c>
      <c r="F11" s="205" t="s">
        <v>20</v>
      </c>
      <c r="G11" s="206">
        <f>D11+E11+F11</f>
        <v>4000</v>
      </c>
      <c r="H11" s="174">
        <v>0</v>
      </c>
      <c r="I11" s="174">
        <v>0</v>
      </c>
      <c r="J11" s="174">
        <v>0</v>
      </c>
      <c r="K11" s="174">
        <v>0</v>
      </c>
      <c r="L11" s="174">
        <f t="shared" si="0"/>
        <v>0</v>
      </c>
    </row>
    <row r="12" spans="1:14" s="189" customFormat="1" ht="25.5" x14ac:dyDescent="0.2">
      <c r="A12" s="195" t="s">
        <v>16</v>
      </c>
      <c r="B12" s="208"/>
      <c r="C12" s="209" t="s">
        <v>35</v>
      </c>
      <c r="D12" s="210">
        <f t="shared" ref="D12:K12" si="1">SUM(D7:D11)</f>
        <v>436656</v>
      </c>
      <c r="E12" s="210">
        <f t="shared" si="1"/>
        <v>0</v>
      </c>
      <c r="F12" s="210">
        <f t="shared" si="1"/>
        <v>0</v>
      </c>
      <c r="G12" s="210">
        <f t="shared" si="1"/>
        <v>436656</v>
      </c>
      <c r="H12" s="177">
        <f t="shared" si="1"/>
        <v>0</v>
      </c>
      <c r="I12" s="177">
        <f t="shared" si="1"/>
        <v>0</v>
      </c>
      <c r="J12" s="177">
        <f t="shared" si="1"/>
        <v>0</v>
      </c>
      <c r="K12" s="177">
        <f t="shared" si="1"/>
        <v>0</v>
      </c>
      <c r="L12" s="177">
        <f t="shared" si="0"/>
        <v>0</v>
      </c>
    </row>
    <row r="13" spans="1:14" s="189" customFormat="1" ht="14.25" x14ac:dyDescent="0.2">
      <c r="C13" s="211"/>
      <c r="H13" s="160"/>
      <c r="I13" s="160"/>
      <c r="J13" s="160"/>
      <c r="K13" s="160"/>
      <c r="L13" s="160"/>
    </row>
    <row r="14" spans="1:14" s="189" customFormat="1" ht="25.5" x14ac:dyDescent="0.2">
      <c r="A14" s="192"/>
      <c r="B14" s="198" t="s">
        <v>25</v>
      </c>
      <c r="C14" s="199" t="s">
        <v>36</v>
      </c>
      <c r="D14" s="200" t="s">
        <v>87</v>
      </c>
      <c r="E14" s="200" t="s">
        <v>88</v>
      </c>
      <c r="F14" s="200" t="s">
        <v>89</v>
      </c>
      <c r="G14" s="201"/>
      <c r="H14" s="170"/>
      <c r="I14" s="170"/>
      <c r="J14" s="170"/>
      <c r="K14" s="170"/>
      <c r="L14" s="170"/>
    </row>
    <row r="15" spans="1:14" s="189" customFormat="1" ht="14.25" x14ac:dyDescent="0.2">
      <c r="A15" s="202" t="s">
        <v>37</v>
      </c>
      <c r="B15" s="203" t="s">
        <v>17</v>
      </c>
      <c r="C15" s="204" t="s">
        <v>38</v>
      </c>
      <c r="D15" s="205">
        <v>10000</v>
      </c>
      <c r="E15" s="205">
        <v>90000</v>
      </c>
      <c r="F15" s="205" t="s">
        <v>20</v>
      </c>
      <c r="G15" s="206">
        <f>D15+E15+F15</f>
        <v>100000</v>
      </c>
      <c r="H15" s="174">
        <v>0</v>
      </c>
      <c r="I15" s="174">
        <v>0</v>
      </c>
      <c r="J15" s="174">
        <v>0</v>
      </c>
      <c r="K15" s="174">
        <v>0</v>
      </c>
      <c r="L15" s="174">
        <f>K15+J15+I15+H15</f>
        <v>0</v>
      </c>
    </row>
    <row r="16" spans="1:14" s="189" customFormat="1" ht="14.25" x14ac:dyDescent="0.2">
      <c r="A16" s="207"/>
      <c r="B16" s="203" t="s">
        <v>21</v>
      </c>
      <c r="C16" s="204" t="s">
        <v>39</v>
      </c>
      <c r="D16" s="205">
        <v>0</v>
      </c>
      <c r="E16" s="205" t="s">
        <v>20</v>
      </c>
      <c r="F16" s="205" t="s">
        <v>20</v>
      </c>
      <c r="G16" s="206">
        <f>D16+E16+F16</f>
        <v>0</v>
      </c>
      <c r="H16" s="174">
        <v>0</v>
      </c>
      <c r="I16" s="174">
        <v>0</v>
      </c>
      <c r="J16" s="174">
        <v>0</v>
      </c>
      <c r="K16" s="174">
        <v>0</v>
      </c>
      <c r="L16" s="174">
        <f>K16+J16+I16+H16</f>
        <v>0</v>
      </c>
    </row>
    <row r="17" spans="1:14" s="189" customFormat="1" ht="25.5" x14ac:dyDescent="0.2">
      <c r="A17" s="195" t="s">
        <v>37</v>
      </c>
      <c r="B17" s="208"/>
      <c r="C17" s="209" t="s">
        <v>40</v>
      </c>
      <c r="D17" s="210">
        <f>SUM(D15:D16)</f>
        <v>10000</v>
      </c>
      <c r="E17" s="210">
        <v>90000</v>
      </c>
      <c r="F17" s="210" t="s">
        <v>20</v>
      </c>
      <c r="G17" s="210">
        <f>SUM(G13:G16)</f>
        <v>100000</v>
      </c>
      <c r="H17" s="177">
        <f>SUM(H15:H16)</f>
        <v>0</v>
      </c>
      <c r="I17" s="177">
        <f>SUM(I15:I16)</f>
        <v>0</v>
      </c>
      <c r="J17" s="177">
        <f>SUM(J15:J16)</f>
        <v>0</v>
      </c>
      <c r="K17" s="177">
        <f>SUM(K15:K16)</f>
        <v>0</v>
      </c>
      <c r="L17" s="177">
        <f>K17+J17+I17+H17</f>
        <v>0</v>
      </c>
      <c r="N17" s="189" t="s">
        <v>92</v>
      </c>
    </row>
    <row r="18" spans="1:14" s="189" customFormat="1" ht="14.25" x14ac:dyDescent="0.2">
      <c r="C18" s="211"/>
      <c r="H18" s="160"/>
      <c r="I18" s="160"/>
      <c r="J18" s="160"/>
      <c r="K18" s="160"/>
      <c r="L18" s="160"/>
    </row>
    <row r="19" spans="1:14" s="189" customFormat="1" ht="14.25" x14ac:dyDescent="0.2">
      <c r="A19" s="192"/>
      <c r="B19" s="198" t="s">
        <v>72</v>
      </c>
      <c r="C19" s="199" t="s">
        <v>73</v>
      </c>
      <c r="D19" s="200" t="s">
        <v>87</v>
      </c>
      <c r="E19" s="200" t="s">
        <v>88</v>
      </c>
      <c r="F19" s="200" t="s">
        <v>89</v>
      </c>
      <c r="G19" s="201"/>
      <c r="H19" s="170"/>
      <c r="I19" s="170"/>
      <c r="J19" s="170"/>
      <c r="K19" s="170"/>
      <c r="L19" s="170"/>
    </row>
    <row r="20" spans="1:14" s="189" customFormat="1" ht="14.25" x14ac:dyDescent="0.2">
      <c r="A20" s="202" t="s">
        <v>74</v>
      </c>
      <c r="B20" s="203" t="s">
        <v>23</v>
      </c>
      <c r="C20" s="204" t="s">
        <v>77</v>
      </c>
      <c r="D20" s="205" t="s">
        <v>20</v>
      </c>
      <c r="E20" s="205" t="s">
        <v>20</v>
      </c>
      <c r="F20" s="205">
        <v>49500</v>
      </c>
      <c r="G20" s="206">
        <f>D20+E20+F20</f>
        <v>49500</v>
      </c>
      <c r="H20" s="174">
        <v>0</v>
      </c>
      <c r="I20" s="174">
        <v>0</v>
      </c>
      <c r="J20" s="174">
        <v>0</v>
      </c>
      <c r="K20" s="174">
        <v>0</v>
      </c>
      <c r="L20" s="174">
        <f>K20+J20+I20+H20</f>
        <v>0</v>
      </c>
    </row>
    <row r="21" spans="1:14" s="189" customFormat="1" ht="15" x14ac:dyDescent="0.2">
      <c r="A21" s="195" t="s">
        <v>74</v>
      </c>
      <c r="B21" s="208"/>
      <c r="C21" s="209" t="s">
        <v>78</v>
      </c>
      <c r="D21" s="212">
        <f t="shared" ref="D21:K21" si="2">SUM(D20)</f>
        <v>0</v>
      </c>
      <c r="E21" s="212">
        <f t="shared" si="2"/>
        <v>0</v>
      </c>
      <c r="F21" s="212">
        <f t="shared" si="2"/>
        <v>49500</v>
      </c>
      <c r="G21" s="212">
        <f t="shared" si="2"/>
        <v>49500</v>
      </c>
      <c r="H21" s="177">
        <f t="shared" si="2"/>
        <v>0</v>
      </c>
      <c r="I21" s="177">
        <f t="shared" si="2"/>
        <v>0</v>
      </c>
      <c r="J21" s="177">
        <f t="shared" si="2"/>
        <v>0</v>
      </c>
      <c r="K21" s="177">
        <f t="shared" si="2"/>
        <v>0</v>
      </c>
      <c r="L21" s="177">
        <f>K21+J21+I21+H21</f>
        <v>0</v>
      </c>
    </row>
    <row r="22" spans="1:14" s="189" customFormat="1" ht="14.25" x14ac:dyDescent="0.2">
      <c r="C22" s="211"/>
      <c r="H22" s="160"/>
      <c r="I22" s="160"/>
      <c r="J22" s="160"/>
      <c r="K22" s="160"/>
      <c r="L22" s="160"/>
    </row>
    <row r="23" spans="1:14" s="189" customFormat="1" ht="15" x14ac:dyDescent="0.2">
      <c r="A23" s="197"/>
      <c r="B23" s="264" t="s">
        <v>79</v>
      </c>
      <c r="C23" s="265"/>
      <c r="D23" s="213">
        <f t="shared" ref="D23:L23" si="3">D21+D17+D12</f>
        <v>446656</v>
      </c>
      <c r="E23" s="213">
        <f t="shared" si="3"/>
        <v>90000</v>
      </c>
      <c r="F23" s="213">
        <f t="shared" si="3"/>
        <v>49500</v>
      </c>
      <c r="G23" s="213">
        <f t="shared" si="3"/>
        <v>586156</v>
      </c>
      <c r="H23" s="179">
        <f t="shared" si="3"/>
        <v>0</v>
      </c>
      <c r="I23" s="179">
        <f t="shared" si="3"/>
        <v>0</v>
      </c>
      <c r="J23" s="179">
        <f t="shared" si="3"/>
        <v>0</v>
      </c>
      <c r="K23" s="179">
        <f t="shared" si="3"/>
        <v>0</v>
      </c>
      <c r="L23" s="179">
        <f t="shared" si="3"/>
        <v>0</v>
      </c>
    </row>
    <row r="25" spans="1:14" x14ac:dyDescent="0.2">
      <c r="H25" s="181"/>
    </row>
    <row r="26" spans="1:14" x14ac:dyDescent="0.2">
      <c r="H26" s="181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26"/>
  <sheetViews>
    <sheetView zoomScale="90" zoomScaleNormal="90" workbookViewId="0">
      <selection activeCell="N12" sqref="N12"/>
    </sheetView>
  </sheetViews>
  <sheetFormatPr defaultRowHeight="12.75" x14ac:dyDescent="0.2"/>
  <cols>
    <col min="1" max="1" width="6" style="180" customWidth="1"/>
    <col min="2" max="2" width="3.5703125" style="180" customWidth="1"/>
    <col min="3" max="3" width="52.28515625" style="181" customWidth="1"/>
    <col min="4" max="4" width="21.5703125" style="180" customWidth="1"/>
    <col min="5" max="5" width="16.5703125" style="180" customWidth="1"/>
    <col min="6" max="6" width="17.5703125" style="180" customWidth="1"/>
    <col min="7" max="7" width="16.28515625" style="180" customWidth="1"/>
    <col min="8" max="8" width="14.7109375" style="180" customWidth="1"/>
    <col min="9" max="9" width="15.42578125" style="180" customWidth="1"/>
    <col min="10" max="10" width="16.5703125" style="180" customWidth="1"/>
    <col min="11" max="11" width="16.140625" style="180" customWidth="1"/>
    <col min="12" max="12" width="17.7109375" style="180" customWidth="1"/>
    <col min="13" max="13" width="3.5703125" style="180" customWidth="1"/>
    <col min="14" max="14" width="69.5703125" style="180" customWidth="1"/>
    <col min="15" max="16384" width="9.140625" style="180"/>
  </cols>
  <sheetData>
    <row r="1" spans="1:14" s="157" customFormat="1" ht="57.75" customHeight="1" x14ac:dyDescent="0.15">
      <c r="A1" s="259" t="s">
        <v>241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182"/>
      <c r="N1" s="182"/>
    </row>
    <row r="2" spans="1:14" s="157" customFormat="1" ht="18" customHeight="1" x14ac:dyDescent="0.2">
      <c r="A2" s="183"/>
      <c r="B2" s="184"/>
      <c r="C2" s="185"/>
      <c r="D2" s="186" t="s">
        <v>82</v>
      </c>
      <c r="E2" s="187"/>
      <c r="F2" s="187"/>
      <c r="G2" s="188" t="s">
        <v>82</v>
      </c>
      <c r="M2" s="183"/>
    </row>
    <row r="3" spans="1:14" s="189" customFormat="1" ht="75" x14ac:dyDescent="0.2">
      <c r="B3" s="260" t="s">
        <v>0</v>
      </c>
      <c r="C3" s="261"/>
      <c r="D3" s="190" t="s">
        <v>83</v>
      </c>
      <c r="E3" s="190" t="s">
        <v>84</v>
      </c>
      <c r="F3" s="190" t="s">
        <v>85</v>
      </c>
      <c r="G3" s="190" t="s">
        <v>86</v>
      </c>
      <c r="H3" s="159" t="s">
        <v>226</v>
      </c>
      <c r="I3" s="159" t="s">
        <v>235</v>
      </c>
      <c r="J3" s="159" t="s">
        <v>236</v>
      </c>
      <c r="K3" s="159" t="s">
        <v>237</v>
      </c>
      <c r="L3" s="159" t="s">
        <v>238</v>
      </c>
    </row>
    <row r="4" spans="1:14" s="189" customFormat="1" ht="15" x14ac:dyDescent="0.2">
      <c r="B4" s="262"/>
      <c r="C4" s="263"/>
      <c r="D4" s="191" t="s">
        <v>87</v>
      </c>
      <c r="E4" s="191" t="s">
        <v>88</v>
      </c>
      <c r="F4" s="191" t="s">
        <v>89</v>
      </c>
      <c r="G4" s="191" t="s">
        <v>82</v>
      </c>
      <c r="H4" s="161" t="s">
        <v>227</v>
      </c>
      <c r="I4" s="161" t="s">
        <v>229</v>
      </c>
      <c r="J4" s="161" t="s">
        <v>230</v>
      </c>
      <c r="K4" s="161" t="s">
        <v>231</v>
      </c>
      <c r="L4" s="161" t="s">
        <v>232</v>
      </c>
    </row>
    <row r="5" spans="1:14" s="189" customFormat="1" ht="14.25" x14ac:dyDescent="0.2">
      <c r="A5" s="192"/>
      <c r="B5" s="193"/>
      <c r="C5" s="194"/>
      <c r="D5" s="195" t="s">
        <v>82</v>
      </c>
      <c r="E5" s="196"/>
      <c r="F5" s="196"/>
      <c r="G5" s="197"/>
      <c r="H5" s="166"/>
      <c r="I5" s="166"/>
      <c r="J5" s="166"/>
      <c r="K5" s="166"/>
      <c r="L5" s="166"/>
    </row>
    <row r="6" spans="1:14" s="189" customFormat="1" ht="25.5" x14ac:dyDescent="0.2">
      <c r="A6" s="192"/>
      <c r="B6" s="198" t="s">
        <v>17</v>
      </c>
      <c r="C6" s="199" t="s">
        <v>18</v>
      </c>
      <c r="D6" s="200" t="s">
        <v>87</v>
      </c>
      <c r="E6" s="200" t="s">
        <v>88</v>
      </c>
      <c r="F6" s="200" t="s">
        <v>89</v>
      </c>
      <c r="G6" s="201"/>
      <c r="H6" s="170"/>
      <c r="I6" s="170"/>
      <c r="J6" s="170"/>
      <c r="K6" s="170"/>
      <c r="L6" s="170"/>
    </row>
    <row r="7" spans="1:14" s="189" customFormat="1" ht="25.5" x14ac:dyDescent="0.2">
      <c r="A7" s="202" t="s">
        <v>16</v>
      </c>
      <c r="B7" s="203" t="s">
        <v>23</v>
      </c>
      <c r="C7" s="204" t="s">
        <v>24</v>
      </c>
      <c r="D7" s="205">
        <v>36500</v>
      </c>
      <c r="E7" s="205" t="s">
        <v>20</v>
      </c>
      <c r="F7" s="205" t="s">
        <v>20</v>
      </c>
      <c r="G7" s="206">
        <f>D7+E7+F7</f>
        <v>36500</v>
      </c>
      <c r="H7" s="174">
        <v>0</v>
      </c>
      <c r="I7" s="174">
        <v>0</v>
      </c>
      <c r="J7" s="174">
        <v>0</v>
      </c>
      <c r="K7" s="174">
        <v>0</v>
      </c>
      <c r="L7" s="174">
        <f t="shared" ref="L7:L12" si="0">K7+J7+I7+H7</f>
        <v>0</v>
      </c>
    </row>
    <row r="8" spans="1:14" s="189" customFormat="1" ht="14.25" x14ac:dyDescent="0.2">
      <c r="A8" s="202"/>
      <c r="B8" s="203" t="s">
        <v>25</v>
      </c>
      <c r="C8" s="204" t="s">
        <v>26</v>
      </c>
      <c r="D8" s="205">
        <v>0</v>
      </c>
      <c r="E8" s="205">
        <v>0</v>
      </c>
      <c r="F8" s="205">
        <v>0</v>
      </c>
      <c r="G8" s="206">
        <v>0</v>
      </c>
      <c r="H8" s="173">
        <v>0</v>
      </c>
      <c r="I8" s="173">
        <v>0</v>
      </c>
      <c r="J8" s="173">
        <v>0</v>
      </c>
      <c r="K8" s="173">
        <v>0</v>
      </c>
      <c r="L8" s="174">
        <f t="shared" si="0"/>
        <v>0</v>
      </c>
    </row>
    <row r="9" spans="1:14" s="189" customFormat="1" ht="14.25" x14ac:dyDescent="0.2">
      <c r="A9" s="207"/>
      <c r="B9" s="203" t="s">
        <v>27</v>
      </c>
      <c r="C9" s="204" t="s">
        <v>28</v>
      </c>
      <c r="D9" s="205">
        <v>181000</v>
      </c>
      <c r="E9" s="205" t="s">
        <v>20</v>
      </c>
      <c r="F9" s="205">
        <v>0</v>
      </c>
      <c r="G9" s="206">
        <f>D9+E9+F9</f>
        <v>181000</v>
      </c>
      <c r="H9" s="174">
        <v>0</v>
      </c>
      <c r="I9" s="174">
        <v>0</v>
      </c>
      <c r="J9" s="174">
        <v>0</v>
      </c>
      <c r="K9" s="174">
        <v>0</v>
      </c>
      <c r="L9" s="174">
        <f t="shared" si="0"/>
        <v>0</v>
      </c>
    </row>
    <row r="10" spans="1:14" s="189" customFormat="1" ht="14.25" x14ac:dyDescent="0.2">
      <c r="A10" s="207"/>
      <c r="B10" s="203" t="s">
        <v>29</v>
      </c>
      <c r="C10" s="204" t="s">
        <v>30</v>
      </c>
      <c r="D10" s="205">
        <v>215156</v>
      </c>
      <c r="E10" s="205" t="s">
        <v>20</v>
      </c>
      <c r="F10" s="205" t="s">
        <v>20</v>
      </c>
      <c r="G10" s="206">
        <f>D10+E10+F10</f>
        <v>215156</v>
      </c>
      <c r="H10" s="174">
        <v>0</v>
      </c>
      <c r="I10" s="174">
        <v>0</v>
      </c>
      <c r="J10" s="174">
        <v>0</v>
      </c>
      <c r="K10" s="174">
        <v>0</v>
      </c>
      <c r="L10" s="174">
        <f t="shared" si="0"/>
        <v>0</v>
      </c>
    </row>
    <row r="11" spans="1:14" s="189" customFormat="1" ht="14.25" x14ac:dyDescent="0.2">
      <c r="A11" s="207"/>
      <c r="B11" s="203" t="s">
        <v>33</v>
      </c>
      <c r="C11" s="204" t="s">
        <v>34</v>
      </c>
      <c r="D11" s="205">
        <v>4000</v>
      </c>
      <c r="E11" s="205" t="s">
        <v>20</v>
      </c>
      <c r="F11" s="205" t="s">
        <v>20</v>
      </c>
      <c r="G11" s="206">
        <f>D11+E11+F11</f>
        <v>4000</v>
      </c>
      <c r="H11" s="174">
        <v>0</v>
      </c>
      <c r="I11" s="174">
        <v>0</v>
      </c>
      <c r="J11" s="174">
        <v>0</v>
      </c>
      <c r="K11" s="174">
        <v>0</v>
      </c>
      <c r="L11" s="174">
        <f t="shared" si="0"/>
        <v>0</v>
      </c>
    </row>
    <row r="12" spans="1:14" s="189" customFormat="1" ht="25.5" x14ac:dyDescent="0.2">
      <c r="A12" s="195" t="s">
        <v>16</v>
      </c>
      <c r="B12" s="208"/>
      <c r="C12" s="209" t="s">
        <v>35</v>
      </c>
      <c r="D12" s="210">
        <f t="shared" ref="D12:K12" si="1">SUM(D7:D11)</f>
        <v>436656</v>
      </c>
      <c r="E12" s="210">
        <f t="shared" si="1"/>
        <v>0</v>
      </c>
      <c r="F12" s="210">
        <f t="shared" si="1"/>
        <v>0</v>
      </c>
      <c r="G12" s="210">
        <f t="shared" si="1"/>
        <v>436656</v>
      </c>
      <c r="H12" s="177">
        <f t="shared" si="1"/>
        <v>0</v>
      </c>
      <c r="I12" s="177">
        <f t="shared" si="1"/>
        <v>0</v>
      </c>
      <c r="J12" s="177">
        <f t="shared" si="1"/>
        <v>0</v>
      </c>
      <c r="K12" s="177">
        <f t="shared" si="1"/>
        <v>0</v>
      </c>
      <c r="L12" s="177">
        <f t="shared" si="0"/>
        <v>0</v>
      </c>
    </row>
    <row r="13" spans="1:14" s="189" customFormat="1" ht="14.25" x14ac:dyDescent="0.2">
      <c r="C13" s="211"/>
      <c r="H13" s="160"/>
      <c r="I13" s="160"/>
      <c r="J13" s="160"/>
      <c r="K13" s="160"/>
      <c r="L13" s="160"/>
    </row>
    <row r="14" spans="1:14" s="189" customFormat="1" ht="25.5" x14ac:dyDescent="0.2">
      <c r="A14" s="192"/>
      <c r="B14" s="198" t="s">
        <v>25</v>
      </c>
      <c r="C14" s="199" t="s">
        <v>36</v>
      </c>
      <c r="D14" s="200" t="s">
        <v>87</v>
      </c>
      <c r="E14" s="200" t="s">
        <v>88</v>
      </c>
      <c r="F14" s="200" t="s">
        <v>89</v>
      </c>
      <c r="G14" s="201"/>
      <c r="H14" s="170"/>
      <c r="I14" s="170"/>
      <c r="J14" s="170"/>
      <c r="K14" s="170"/>
      <c r="L14" s="170"/>
    </row>
    <row r="15" spans="1:14" s="189" customFormat="1" ht="14.25" x14ac:dyDescent="0.2">
      <c r="A15" s="202" t="s">
        <v>37</v>
      </c>
      <c r="B15" s="203" t="s">
        <v>17</v>
      </c>
      <c r="C15" s="204" t="s">
        <v>38</v>
      </c>
      <c r="D15" s="205">
        <v>10000</v>
      </c>
      <c r="E15" s="205">
        <v>90000</v>
      </c>
      <c r="F15" s="205" t="s">
        <v>20</v>
      </c>
      <c r="G15" s="206">
        <f>D15+E15+F15</f>
        <v>100000</v>
      </c>
      <c r="H15" s="174">
        <v>0</v>
      </c>
      <c r="I15" s="174">
        <v>0</v>
      </c>
      <c r="J15" s="174">
        <v>0</v>
      </c>
      <c r="K15" s="174">
        <v>0</v>
      </c>
      <c r="L15" s="174">
        <f>K15+J15+I15+H15</f>
        <v>0</v>
      </c>
    </row>
    <row r="16" spans="1:14" s="189" customFormat="1" ht="14.25" x14ac:dyDescent="0.2">
      <c r="A16" s="207"/>
      <c r="B16" s="203" t="s">
        <v>21</v>
      </c>
      <c r="C16" s="204" t="s">
        <v>39</v>
      </c>
      <c r="D16" s="205">
        <v>0</v>
      </c>
      <c r="E16" s="205" t="s">
        <v>20</v>
      </c>
      <c r="F16" s="205" t="s">
        <v>20</v>
      </c>
      <c r="G16" s="206">
        <f>D16+E16+F16</f>
        <v>0</v>
      </c>
      <c r="H16" s="174">
        <v>0</v>
      </c>
      <c r="I16" s="174">
        <v>0</v>
      </c>
      <c r="J16" s="174">
        <v>0</v>
      </c>
      <c r="K16" s="174">
        <v>0</v>
      </c>
      <c r="L16" s="174">
        <f>K16+J16+I16+H16</f>
        <v>0</v>
      </c>
    </row>
    <row r="17" spans="1:12" s="189" customFormat="1" ht="25.5" x14ac:dyDescent="0.2">
      <c r="A17" s="195" t="s">
        <v>37</v>
      </c>
      <c r="B17" s="208"/>
      <c r="C17" s="209" t="s">
        <v>40</v>
      </c>
      <c r="D17" s="210">
        <f t="shared" ref="D17:K17" si="2">SUM(D15:D16)</f>
        <v>10000</v>
      </c>
      <c r="E17" s="210">
        <f t="shared" si="2"/>
        <v>90000</v>
      </c>
      <c r="F17" s="210">
        <f t="shared" si="2"/>
        <v>0</v>
      </c>
      <c r="G17" s="210">
        <f t="shared" si="2"/>
        <v>100000</v>
      </c>
      <c r="H17" s="177">
        <f t="shared" si="2"/>
        <v>0</v>
      </c>
      <c r="I17" s="177">
        <f t="shared" si="2"/>
        <v>0</v>
      </c>
      <c r="J17" s="177">
        <f t="shared" si="2"/>
        <v>0</v>
      </c>
      <c r="K17" s="177">
        <f t="shared" si="2"/>
        <v>0</v>
      </c>
      <c r="L17" s="177">
        <f>K17+J17+I17+H17</f>
        <v>0</v>
      </c>
    </row>
    <row r="18" spans="1:12" s="189" customFormat="1" ht="14.25" x14ac:dyDescent="0.2">
      <c r="C18" s="211"/>
      <c r="H18" s="160"/>
      <c r="I18" s="160"/>
      <c r="J18" s="160"/>
      <c r="K18" s="160"/>
      <c r="L18" s="160"/>
    </row>
    <row r="19" spans="1:12" s="189" customFormat="1" ht="14.25" x14ac:dyDescent="0.2">
      <c r="A19" s="192"/>
      <c r="B19" s="198" t="s">
        <v>72</v>
      </c>
      <c r="C19" s="199" t="s">
        <v>73</v>
      </c>
      <c r="D19" s="200" t="s">
        <v>87</v>
      </c>
      <c r="E19" s="200" t="s">
        <v>88</v>
      </c>
      <c r="F19" s="200" t="s">
        <v>89</v>
      </c>
      <c r="G19" s="201"/>
      <c r="H19" s="170"/>
      <c r="I19" s="170"/>
      <c r="J19" s="170"/>
      <c r="K19" s="170"/>
      <c r="L19" s="170"/>
    </row>
    <row r="20" spans="1:12" s="189" customFormat="1" ht="14.25" x14ac:dyDescent="0.2">
      <c r="A20" s="202" t="s">
        <v>74</v>
      </c>
      <c r="B20" s="203" t="s">
        <v>23</v>
      </c>
      <c r="C20" s="204" t="s">
        <v>77</v>
      </c>
      <c r="D20" s="205" t="s">
        <v>20</v>
      </c>
      <c r="E20" s="205" t="s">
        <v>20</v>
      </c>
      <c r="F20" s="205">
        <v>49500</v>
      </c>
      <c r="G20" s="206">
        <f>D20+E20+F20</f>
        <v>49500</v>
      </c>
      <c r="H20" s="174">
        <v>0</v>
      </c>
      <c r="I20" s="174">
        <v>0</v>
      </c>
      <c r="J20" s="174">
        <v>0</v>
      </c>
      <c r="K20" s="174">
        <v>0</v>
      </c>
      <c r="L20" s="174">
        <f>K20+J20+I20+H20</f>
        <v>0</v>
      </c>
    </row>
    <row r="21" spans="1:12" s="189" customFormat="1" ht="15" x14ac:dyDescent="0.2">
      <c r="A21" s="195" t="s">
        <v>74</v>
      </c>
      <c r="B21" s="208"/>
      <c r="C21" s="209" t="s">
        <v>78</v>
      </c>
      <c r="D21" s="210">
        <f>SUM(D19:D20)</f>
        <v>0</v>
      </c>
      <c r="E21" s="210">
        <f>SUM(E19:E20)</f>
        <v>0</v>
      </c>
      <c r="F21" s="210">
        <f>SUM(F19:F20)</f>
        <v>49500</v>
      </c>
      <c r="G21" s="210">
        <f>SUM(G19:G20)</f>
        <v>49500</v>
      </c>
      <c r="H21" s="177">
        <f>SUM(H20)</f>
        <v>0</v>
      </c>
      <c r="I21" s="177">
        <f>SUM(I20)</f>
        <v>0</v>
      </c>
      <c r="J21" s="177">
        <f>SUM(J20)</f>
        <v>0</v>
      </c>
      <c r="K21" s="177">
        <f>SUM(K20)</f>
        <v>0</v>
      </c>
      <c r="L21" s="177">
        <f>K21+J21+I21+H21</f>
        <v>0</v>
      </c>
    </row>
    <row r="22" spans="1:12" s="189" customFormat="1" ht="14.25" x14ac:dyDescent="0.2">
      <c r="C22" s="211"/>
      <c r="H22" s="160"/>
      <c r="I22" s="160"/>
      <c r="J22" s="160"/>
      <c r="K22" s="160"/>
      <c r="L22" s="160"/>
    </row>
    <row r="23" spans="1:12" s="189" customFormat="1" ht="15" x14ac:dyDescent="0.2">
      <c r="A23" s="197"/>
      <c r="B23" s="264" t="s">
        <v>79</v>
      </c>
      <c r="C23" s="265"/>
      <c r="D23" s="213">
        <f t="shared" ref="D23:L23" si="3">D21+D17+D12</f>
        <v>446656</v>
      </c>
      <c r="E23" s="213">
        <f t="shared" si="3"/>
        <v>90000</v>
      </c>
      <c r="F23" s="213">
        <f t="shared" si="3"/>
        <v>49500</v>
      </c>
      <c r="G23" s="213">
        <f t="shared" si="3"/>
        <v>586156</v>
      </c>
      <c r="H23" s="179">
        <f t="shared" si="3"/>
        <v>0</v>
      </c>
      <c r="I23" s="179">
        <f t="shared" si="3"/>
        <v>0</v>
      </c>
      <c r="J23" s="179">
        <f t="shared" si="3"/>
        <v>0</v>
      </c>
      <c r="K23" s="179">
        <f t="shared" si="3"/>
        <v>0</v>
      </c>
      <c r="L23" s="179">
        <f t="shared" si="3"/>
        <v>0</v>
      </c>
    </row>
    <row r="25" spans="1:12" x14ac:dyDescent="0.2">
      <c r="H25" s="181"/>
    </row>
    <row r="26" spans="1:12" x14ac:dyDescent="0.2">
      <c r="H26" s="181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8" sqref="G18"/>
    </sheetView>
  </sheetViews>
  <sheetFormatPr defaultRowHeight="12.75" x14ac:dyDescent="0.2"/>
  <cols>
    <col min="1" max="1" width="3" style="133" customWidth="1"/>
    <col min="2" max="2" width="3.5703125" style="133" customWidth="1"/>
    <col min="3" max="3" width="40.5703125" style="133" customWidth="1"/>
    <col min="4" max="6" width="15.5703125" style="133" customWidth="1"/>
    <col min="7" max="7" width="40.140625" style="133" customWidth="1"/>
    <col min="8" max="16384" width="9.140625" style="133"/>
  </cols>
  <sheetData>
    <row r="1" spans="1:7" s="110" customFormat="1" ht="63" customHeight="1" x14ac:dyDescent="0.15">
      <c r="A1" s="214" t="s">
        <v>92</v>
      </c>
      <c r="B1" s="268" t="s">
        <v>213</v>
      </c>
      <c r="C1" s="269"/>
      <c r="D1" s="269"/>
      <c r="E1" s="269"/>
      <c r="F1" s="269"/>
      <c r="G1" s="215"/>
    </row>
    <row r="2" spans="1:7" s="110" customFormat="1" ht="15" customHeight="1" x14ac:dyDescent="0.15"/>
    <row r="3" spans="1:7" s="216" customFormat="1" ht="29.25" customHeight="1" x14ac:dyDescent="0.2">
      <c r="B3" s="266" t="s">
        <v>0</v>
      </c>
      <c r="C3" s="266"/>
      <c r="D3" s="217" t="s">
        <v>201</v>
      </c>
      <c r="E3" s="217" t="s">
        <v>203</v>
      </c>
      <c r="F3" s="218" t="s">
        <v>8</v>
      </c>
    </row>
    <row r="4" spans="1:7" s="216" customFormat="1" ht="18" customHeight="1" x14ac:dyDescent="0.2">
      <c r="B4" s="266"/>
      <c r="C4" s="266"/>
      <c r="D4" s="218" t="s">
        <v>210</v>
      </c>
      <c r="E4" s="218" t="s">
        <v>209</v>
      </c>
      <c r="F4" s="218" t="s">
        <v>43</v>
      </c>
    </row>
    <row r="5" spans="1:7" s="216" customFormat="1" ht="3" customHeight="1" x14ac:dyDescent="0.2">
      <c r="B5" s="219"/>
      <c r="C5" s="219"/>
      <c r="D5" s="220" t="s">
        <v>201</v>
      </c>
      <c r="E5" s="220" t="s">
        <v>203</v>
      </c>
      <c r="F5" s="221"/>
    </row>
    <row r="6" spans="1:7" s="216" customFormat="1" ht="24" customHeight="1" x14ac:dyDescent="0.2">
      <c r="B6" s="222" t="s">
        <v>212</v>
      </c>
      <c r="C6" s="223" t="s">
        <v>211</v>
      </c>
      <c r="D6" s="224" t="s">
        <v>210</v>
      </c>
      <c r="E6" s="224" t="s">
        <v>209</v>
      </c>
      <c r="F6" s="225"/>
    </row>
    <row r="7" spans="1:7" s="216" customFormat="1" ht="24" customHeight="1" x14ac:dyDescent="0.2">
      <c r="B7" s="226" t="s">
        <v>17</v>
      </c>
      <c r="C7" s="227" t="s">
        <v>208</v>
      </c>
      <c r="D7" s="228">
        <f>5315950-1000</f>
        <v>5314950</v>
      </c>
      <c r="E7" s="228">
        <v>6000</v>
      </c>
      <c r="F7" s="228">
        <f>D7+E7</f>
        <v>5320950</v>
      </c>
    </row>
    <row r="8" spans="1:7" s="216" customFormat="1" ht="24" customHeight="1" x14ac:dyDescent="0.2">
      <c r="B8" s="229"/>
      <c r="C8" s="230" t="s">
        <v>207</v>
      </c>
      <c r="D8" s="231">
        <f>SUM(D7)</f>
        <v>5314950</v>
      </c>
      <c r="E8" s="231">
        <f>SUM(E7)</f>
        <v>6000</v>
      </c>
      <c r="F8" s="231">
        <f>SUM(F7)</f>
        <v>5320950</v>
      </c>
    </row>
    <row r="9" spans="1:7" s="216" customFormat="1" ht="11.25" x14ac:dyDescent="0.2"/>
    <row r="10" spans="1:7" s="216" customFormat="1" ht="11.25" x14ac:dyDescent="0.2">
      <c r="B10" s="232"/>
      <c r="C10" s="232"/>
      <c r="D10" s="233"/>
      <c r="E10" s="233"/>
      <c r="F10" s="233"/>
    </row>
    <row r="11" spans="1:7" s="216" customFormat="1" ht="11.25" x14ac:dyDescent="0.2">
      <c r="B11" s="267" t="s">
        <v>79</v>
      </c>
      <c r="C11" s="267"/>
      <c r="D11" s="234">
        <f>D8</f>
        <v>5314950</v>
      </c>
      <c r="E11" s="234">
        <f>E8</f>
        <v>6000</v>
      </c>
      <c r="F11" s="234">
        <f>F8</f>
        <v>5320950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21" sqref="G21"/>
    </sheetView>
  </sheetViews>
  <sheetFormatPr defaultRowHeight="12.75" x14ac:dyDescent="0.2"/>
  <cols>
    <col min="1" max="1" width="3" style="133" customWidth="1"/>
    <col min="2" max="2" width="3.5703125" style="133" customWidth="1"/>
    <col min="3" max="3" width="40.5703125" style="133" customWidth="1"/>
    <col min="4" max="6" width="15.5703125" style="133" customWidth="1"/>
    <col min="7" max="7" width="40.140625" style="133" customWidth="1"/>
    <col min="8" max="16384" width="9.140625" style="133"/>
  </cols>
  <sheetData>
    <row r="1" spans="1:7" s="110" customFormat="1" ht="63" customHeight="1" x14ac:dyDescent="0.15">
      <c r="A1" s="214" t="s">
        <v>92</v>
      </c>
      <c r="B1" s="268" t="s">
        <v>214</v>
      </c>
      <c r="C1" s="269"/>
      <c r="D1" s="269"/>
      <c r="E1" s="269"/>
      <c r="F1" s="269"/>
      <c r="G1" s="215"/>
    </row>
    <row r="2" spans="1:7" s="110" customFormat="1" ht="15" customHeight="1" x14ac:dyDescent="0.15"/>
    <row r="3" spans="1:7" s="216" customFormat="1" ht="33" customHeight="1" x14ac:dyDescent="0.2">
      <c r="B3" s="266" t="s">
        <v>0</v>
      </c>
      <c r="C3" s="266"/>
      <c r="D3" s="217" t="s">
        <v>201</v>
      </c>
      <c r="E3" s="217" t="s">
        <v>203</v>
      </c>
      <c r="F3" s="218" t="s">
        <v>8</v>
      </c>
    </row>
    <row r="4" spans="1:7" s="216" customFormat="1" ht="18.75" customHeight="1" x14ac:dyDescent="0.2">
      <c r="B4" s="266"/>
      <c r="C4" s="266"/>
      <c r="D4" s="218" t="s">
        <v>210</v>
      </c>
      <c r="E4" s="218" t="s">
        <v>209</v>
      </c>
      <c r="F4" s="218" t="s">
        <v>43</v>
      </c>
    </row>
    <row r="5" spans="1:7" s="216" customFormat="1" ht="11.25" customHeight="1" x14ac:dyDescent="0.2">
      <c r="B5" s="219"/>
      <c r="C5" s="219"/>
      <c r="D5" s="220" t="s">
        <v>201</v>
      </c>
      <c r="E5" s="220" t="s">
        <v>203</v>
      </c>
      <c r="F5" s="221"/>
    </row>
    <row r="6" spans="1:7" s="216" customFormat="1" ht="18.75" customHeight="1" x14ac:dyDescent="0.2">
      <c r="B6" s="222" t="s">
        <v>212</v>
      </c>
      <c r="C6" s="223" t="s">
        <v>211</v>
      </c>
      <c r="D6" s="224" t="s">
        <v>210</v>
      </c>
      <c r="E6" s="224" t="s">
        <v>209</v>
      </c>
      <c r="F6" s="225"/>
    </row>
    <row r="7" spans="1:7" s="216" customFormat="1" ht="18.75" customHeight="1" x14ac:dyDescent="0.2">
      <c r="B7" s="226" t="s">
        <v>17</v>
      </c>
      <c r="C7" s="227" t="s">
        <v>208</v>
      </c>
      <c r="D7" s="228">
        <v>5315950</v>
      </c>
      <c r="E7" s="228">
        <v>2000</v>
      </c>
      <c r="F7" s="228">
        <f>D7+E7</f>
        <v>5317950</v>
      </c>
    </row>
    <row r="8" spans="1:7" s="216" customFormat="1" ht="18.75" customHeight="1" x14ac:dyDescent="0.2">
      <c r="B8" s="235"/>
      <c r="C8" s="230" t="s">
        <v>207</v>
      </c>
      <c r="D8" s="231">
        <f>SUM(D7)</f>
        <v>5315950</v>
      </c>
      <c r="E8" s="231">
        <f>SUM(E7)</f>
        <v>2000</v>
      </c>
      <c r="F8" s="231">
        <f>SUM(F7)</f>
        <v>5317950</v>
      </c>
    </row>
    <row r="9" spans="1:7" s="216" customFormat="1" ht="18" customHeight="1" x14ac:dyDescent="0.2"/>
    <row r="10" spans="1:7" s="216" customFormat="1" ht="18.75" hidden="1" customHeight="1" x14ac:dyDescent="0.2">
      <c r="B10" s="232"/>
      <c r="C10" s="232"/>
      <c r="D10" s="233"/>
      <c r="E10" s="233"/>
      <c r="F10" s="233"/>
    </row>
    <row r="11" spans="1:7" s="216" customFormat="1" ht="18.75" customHeight="1" x14ac:dyDescent="0.2">
      <c r="B11" s="267" t="s">
        <v>79</v>
      </c>
      <c r="C11" s="267"/>
      <c r="D11" s="234">
        <f>D8</f>
        <v>5315950</v>
      </c>
      <c r="E11" s="234">
        <f>E8</f>
        <v>2000</v>
      </c>
      <c r="F11" s="234">
        <f>F8</f>
        <v>5317950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I12" sqref="I12"/>
    </sheetView>
  </sheetViews>
  <sheetFormatPr defaultRowHeight="12.75" x14ac:dyDescent="0.2"/>
  <cols>
    <col min="1" max="1" width="3" style="133" customWidth="1"/>
    <col min="2" max="2" width="3.5703125" style="133" customWidth="1"/>
    <col min="3" max="3" width="40.5703125" style="133" customWidth="1"/>
    <col min="4" max="6" width="15.5703125" style="133" customWidth="1"/>
    <col min="7" max="7" width="40.140625" style="133" customWidth="1"/>
    <col min="8" max="16384" width="9.140625" style="133"/>
  </cols>
  <sheetData>
    <row r="1" spans="1:7" s="110" customFormat="1" ht="63" customHeight="1" x14ac:dyDescent="0.15">
      <c r="A1" s="214" t="s">
        <v>92</v>
      </c>
      <c r="B1" s="268" t="s">
        <v>242</v>
      </c>
      <c r="C1" s="269"/>
      <c r="D1" s="269"/>
      <c r="E1" s="269"/>
      <c r="F1" s="269"/>
      <c r="G1" s="215"/>
    </row>
    <row r="2" spans="1:7" s="110" customFormat="1" ht="15" customHeight="1" x14ac:dyDescent="0.15"/>
    <row r="3" spans="1:7" s="216" customFormat="1" ht="37.5" customHeight="1" x14ac:dyDescent="0.2">
      <c r="B3" s="266" t="s">
        <v>0</v>
      </c>
      <c r="C3" s="266"/>
      <c r="D3" s="217" t="s">
        <v>201</v>
      </c>
      <c r="E3" s="217" t="s">
        <v>203</v>
      </c>
      <c r="F3" s="218" t="s">
        <v>8</v>
      </c>
    </row>
    <row r="4" spans="1:7" s="216" customFormat="1" ht="18" customHeight="1" x14ac:dyDescent="0.2">
      <c r="B4" s="266"/>
      <c r="C4" s="266"/>
      <c r="D4" s="218" t="s">
        <v>210</v>
      </c>
      <c r="E4" s="218" t="s">
        <v>209</v>
      </c>
      <c r="F4" s="218" t="s">
        <v>43</v>
      </c>
    </row>
    <row r="5" spans="1:7" s="216" customFormat="1" ht="3" customHeight="1" x14ac:dyDescent="0.2">
      <c r="B5" s="219"/>
      <c r="C5" s="219"/>
      <c r="D5" s="220" t="s">
        <v>201</v>
      </c>
      <c r="E5" s="220" t="s">
        <v>203</v>
      </c>
      <c r="F5" s="221"/>
    </row>
    <row r="6" spans="1:7" s="216" customFormat="1" ht="24.75" customHeight="1" x14ac:dyDescent="0.2">
      <c r="B6" s="222" t="s">
        <v>212</v>
      </c>
      <c r="C6" s="223" t="s">
        <v>211</v>
      </c>
      <c r="D6" s="224" t="s">
        <v>210</v>
      </c>
      <c r="E6" s="224" t="s">
        <v>209</v>
      </c>
      <c r="F6" s="225"/>
    </row>
    <row r="7" spans="1:7" s="216" customFormat="1" ht="24.75" customHeight="1" x14ac:dyDescent="0.2">
      <c r="B7" s="226" t="s">
        <v>17</v>
      </c>
      <c r="C7" s="227" t="s">
        <v>208</v>
      </c>
      <c r="D7" s="228">
        <v>5315950</v>
      </c>
      <c r="E7" s="228">
        <v>2000</v>
      </c>
      <c r="F7" s="228">
        <f>D7+E7</f>
        <v>5317950</v>
      </c>
    </row>
    <row r="8" spans="1:7" s="216" customFormat="1" ht="24.75" customHeight="1" x14ac:dyDescent="0.2">
      <c r="B8" s="235"/>
      <c r="C8" s="230" t="s">
        <v>207</v>
      </c>
      <c r="D8" s="231">
        <f>SUM(D7)</f>
        <v>5315950</v>
      </c>
      <c r="E8" s="231">
        <f>SUM(E7)</f>
        <v>2000</v>
      </c>
      <c r="F8" s="231">
        <f>SUM(F7)</f>
        <v>5317950</v>
      </c>
    </row>
    <row r="9" spans="1:7" s="216" customFormat="1" ht="11.25" x14ac:dyDescent="0.2"/>
    <row r="10" spans="1:7" s="216" customFormat="1" ht="11.25" x14ac:dyDescent="0.2">
      <c r="B10" s="232"/>
      <c r="C10" s="232"/>
      <c r="D10" s="233"/>
      <c r="E10" s="233"/>
      <c r="F10" s="233"/>
    </row>
    <row r="11" spans="1:7" s="216" customFormat="1" ht="11.25" x14ac:dyDescent="0.2">
      <c r="B11" s="267" t="s">
        <v>79</v>
      </c>
      <c r="C11" s="267"/>
      <c r="D11" s="234">
        <f>D8</f>
        <v>5315950</v>
      </c>
      <c r="E11" s="234">
        <f>E8</f>
        <v>2000</v>
      </c>
      <c r="F11" s="234">
        <f>F8</f>
        <v>5317950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Macro CORRENTI 2021</vt:lpstr>
      <vt:lpstr>Macro CORRENTI 2022</vt:lpstr>
      <vt:lpstr>Macro CORRENTI 2023</vt:lpstr>
      <vt:lpstr>Macro CAPITALE 2021</vt:lpstr>
      <vt:lpstr>Macro CAPITALE 2022</vt:lpstr>
      <vt:lpstr>Macro CAPITALE 2023</vt:lpstr>
      <vt:lpstr>Macro Partite di giro 2021</vt:lpstr>
      <vt:lpstr>Macro Partite di giro 2022</vt:lpstr>
      <vt:lpstr>Macro Partite di giro  2023</vt:lpstr>
      <vt:lpstr>'Entrate per categoria'!Area_stampa</vt:lpstr>
      <vt:lpstr>'Macro CAPITALE 2021'!Area_stampa</vt:lpstr>
      <vt:lpstr>'Macro CAPITALE 2022'!Area_stampa</vt:lpstr>
      <vt:lpstr>'Macro CAPITALE 2023'!Area_stampa</vt:lpstr>
      <vt:lpstr>'Macro CORRENTI 2021'!Area_stampa</vt:lpstr>
      <vt:lpstr>'Macro CORRENTI 2022'!Area_stampa</vt:lpstr>
      <vt:lpstr>'Macro CORRENTI 2023'!Area_stampa</vt:lpstr>
      <vt:lpstr>'Macro Partite di giro  2023'!Area_stampa</vt:lpstr>
      <vt:lpstr>'Macro Partite di giro 2021'!Area_stampa</vt:lpstr>
      <vt:lpstr>'Macro Partite di giro 2022'!Area_stampa</vt:lpstr>
      <vt:lpstr>'Riepilogo SPESE '!Area_stampa</vt:lpstr>
      <vt:lpstr>'Entrate per categoria'!Titoli_stampa</vt:lpstr>
      <vt:lpstr>'Macro CORRENTI 2021'!Titoli_stampa</vt:lpstr>
      <vt:lpstr>'Macro CORRENTI 2022'!Titoli_stampa</vt:lpstr>
      <vt:lpstr>'Macro CORRENTI 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2021-06-21T10:07:34Z</cp:lastPrinted>
  <dcterms:created xsi:type="dcterms:W3CDTF">2020-12-14T13:36:05Z</dcterms:created>
  <dcterms:modified xsi:type="dcterms:W3CDTF">2021-10-01T10:54:50Z</dcterms:modified>
</cp:coreProperties>
</file>