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.nenci\Desktop\Delib_UP_114 _2023_\"/>
    </mc:Choice>
  </mc:AlternateContent>
  <xr:revisionPtr revIDLastSave="0" documentId="8_{5524DF15-B76A-4A78-B824-85B951EFFBBF}" xr6:coauthVersionLast="47" xr6:coauthVersionMax="47" xr10:uidLastSave="{00000000-0000-0000-0000-000000000000}"/>
  <bookViews>
    <workbookView xWindow="-120" yWindow="-120" windowWidth="29040" windowHeight="15840" tabRatio="877"/>
  </bookViews>
  <sheets>
    <sheet name="Entrate per categoria" sheetId="7" r:id="rId1"/>
    <sheet name="Riepilogo SPESE " sheetId="8" r:id="rId2"/>
    <sheet name=" Macro CORRENTI 2023" sheetId="1" r:id="rId3"/>
    <sheet name="Macro CORRENTI 2024" sheetId="2" r:id="rId4"/>
    <sheet name="Macro CORRENTI 2025" sheetId="3" r:id="rId5"/>
    <sheet name="Macro CAPITALE 2023" sheetId="4" r:id="rId6"/>
    <sheet name="Macro CAPITALE 2024" sheetId="5" r:id="rId7"/>
    <sheet name="Macro CAPITALE 2025" sheetId="6" r:id="rId8"/>
    <sheet name="Macro Partite di giro 2023" sheetId="10" r:id="rId9"/>
    <sheet name="Macro Partite di giro 2024" sheetId="11" r:id="rId10"/>
    <sheet name="Macro Partite di giro  2025" sheetId="12" r:id="rId11"/>
  </sheets>
  <definedNames>
    <definedName name="_xlnm.Print_Area" localSheetId="2">' Macro CORRENTI 2023'!$A$1:$K$71</definedName>
    <definedName name="_xlnm.Print_Area" localSheetId="0">'Entrate per categoria'!$A$1:$H$70</definedName>
    <definedName name="_xlnm.Print_Area" localSheetId="5">'Macro CAPITALE 2023'!$B$1:$L$32</definedName>
    <definedName name="_xlnm.Print_Area" localSheetId="6">'Macro CAPITALE 2024'!$A$1:$M$23</definedName>
    <definedName name="_xlnm.Print_Area" localSheetId="7">'Macro CAPITALE 2025'!$A$1:$L$23</definedName>
    <definedName name="_xlnm.Print_Area" localSheetId="3">'Macro CORRENTI 2024'!$A$1:$K$74</definedName>
    <definedName name="_xlnm.Print_Area" localSheetId="4">'Macro CORRENTI 2025'!$A$1:$K$69</definedName>
    <definedName name="_xlnm.Print_Area" localSheetId="10">'Macro Partite di giro  2025'!$A$1:$F$11</definedName>
    <definedName name="_xlnm.Print_Area" localSheetId="8">'Macro Partite di giro 2023'!$A$1:$F$11</definedName>
    <definedName name="_xlnm.Print_Area" localSheetId="9">'Macro Partite di giro 2024'!$A$1:$F$11</definedName>
    <definedName name="_xlnm.Print_Area" localSheetId="1">'Riepilogo SPESE '!$A$1:$G$42</definedName>
    <definedName name="_xlnm.Print_Titles" localSheetId="2">' Macro CORRENTI 2023'!$1:$3</definedName>
    <definedName name="_xlnm.Print_Titles" localSheetId="0">'Entrate per categoria'!$3:$5</definedName>
    <definedName name="_xlnm.Print_Titles" localSheetId="3">'Macro CORRENTI 2024'!$1:$3</definedName>
    <definedName name="_xlnm.Print_Titles" localSheetId="4">'Macro CORRENTI 2025'!$1:$3</definedName>
  </definedNames>
  <calcPr calcId="191029" fullCalcOnLoad="1"/>
</workbook>
</file>

<file path=xl/calcChain.xml><?xml version="1.0" encoding="utf-8"?>
<calcChain xmlns="http://schemas.openxmlformats.org/spreadsheetml/2006/main">
  <c r="D36" i="8" l="1"/>
  <c r="D35" i="8"/>
  <c r="E13" i="8"/>
  <c r="E14" i="8"/>
  <c r="G6" i="2"/>
  <c r="F22" i="2"/>
  <c r="E7" i="10"/>
  <c r="D7" i="10"/>
  <c r="F29" i="4"/>
  <c r="J67" i="1"/>
  <c r="G22" i="1"/>
  <c r="K22" i="1"/>
  <c r="G6" i="1"/>
  <c r="F64" i="7"/>
  <c r="F57" i="7"/>
  <c r="F56" i="7"/>
  <c r="F63" i="7"/>
  <c r="F62" i="7"/>
  <c r="F60" i="7"/>
  <c r="F6" i="1"/>
  <c r="F23" i="2"/>
  <c r="G22" i="2"/>
  <c r="K22" i="2"/>
  <c r="G23" i="2"/>
  <c r="F22" i="1"/>
  <c r="F36" i="7"/>
  <c r="F34" i="7"/>
  <c r="F38" i="7"/>
  <c r="D24" i="8"/>
  <c r="K67" i="1"/>
  <c r="J68" i="1"/>
  <c r="J71" i="1"/>
  <c r="E8" i="10"/>
  <c r="E11" i="10"/>
  <c r="D8" i="10"/>
  <c r="D11" i="10"/>
  <c r="F14" i="8"/>
  <c r="F13" i="8"/>
  <c r="E11" i="8"/>
  <c r="D37" i="8"/>
  <c r="D22" i="8"/>
  <c r="D21" i="8"/>
  <c r="D16" i="8"/>
  <c r="D12" i="8"/>
  <c r="D11" i="8"/>
  <c r="D18" i="8"/>
  <c r="G49" i="3"/>
  <c r="K49" i="3"/>
  <c r="G22" i="3"/>
  <c r="G23" i="3"/>
  <c r="G6" i="3"/>
  <c r="K6" i="3"/>
  <c r="F6" i="3"/>
  <c r="G54" i="2"/>
  <c r="F8" i="2"/>
  <c r="D8" i="2"/>
  <c r="F6" i="2"/>
  <c r="G14" i="2"/>
  <c r="K6" i="2"/>
  <c r="G58" i="3"/>
  <c r="G59" i="3"/>
  <c r="E59" i="3"/>
  <c r="F59" i="3"/>
  <c r="F69" i="3"/>
  <c r="H59" i="3"/>
  <c r="I59" i="3"/>
  <c r="J59" i="3"/>
  <c r="D59" i="3"/>
  <c r="K57" i="3"/>
  <c r="G63" i="2"/>
  <c r="G64" i="2"/>
  <c r="E64" i="2"/>
  <c r="F64" i="2"/>
  <c r="H64" i="2"/>
  <c r="I64" i="2"/>
  <c r="J64" i="2"/>
  <c r="J74" i="2"/>
  <c r="D64" i="2"/>
  <c r="K62" i="2"/>
  <c r="G61" i="1"/>
  <c r="K60" i="1"/>
  <c r="E62" i="1"/>
  <c r="F62" i="1"/>
  <c r="G62" i="1"/>
  <c r="H62" i="1"/>
  <c r="I62" i="1"/>
  <c r="J62" i="1"/>
  <c r="D62" i="1"/>
  <c r="F52" i="1"/>
  <c r="F53" i="1"/>
  <c r="E44" i="3"/>
  <c r="F44" i="3"/>
  <c r="H44" i="3"/>
  <c r="I44" i="3"/>
  <c r="J44" i="3"/>
  <c r="D44" i="3"/>
  <c r="D69" i="3"/>
  <c r="G43" i="3"/>
  <c r="G44" i="3"/>
  <c r="K42" i="3"/>
  <c r="G47" i="2"/>
  <c r="E48" i="2"/>
  <c r="F48" i="2"/>
  <c r="G48" i="2"/>
  <c r="H48" i="2"/>
  <c r="I48" i="2"/>
  <c r="J48" i="2"/>
  <c r="D48" i="2"/>
  <c r="K46" i="2"/>
  <c r="G46" i="1"/>
  <c r="G47" i="1"/>
  <c r="E47" i="1"/>
  <c r="F47" i="1"/>
  <c r="H47" i="1"/>
  <c r="I47" i="1"/>
  <c r="J47" i="1"/>
  <c r="D47" i="1"/>
  <c r="K44" i="1"/>
  <c r="G23" i="1"/>
  <c r="G71" i="1"/>
  <c r="G13" i="1"/>
  <c r="F13" i="1"/>
  <c r="I12" i="1"/>
  <c r="F12" i="1"/>
  <c r="E12" i="1"/>
  <c r="E14" i="1"/>
  <c r="D12" i="1"/>
  <c r="K12" i="1"/>
  <c r="F11" i="1"/>
  <c r="K11" i="1"/>
  <c r="J10" i="1"/>
  <c r="F10" i="1"/>
  <c r="K10" i="1"/>
  <c r="F8" i="1"/>
  <c r="F14" i="1"/>
  <c r="D8" i="1"/>
  <c r="K8" i="1"/>
  <c r="E6" i="1"/>
  <c r="K6" i="1"/>
  <c r="G29" i="4"/>
  <c r="G30" i="4"/>
  <c r="G32" i="4"/>
  <c r="E24" i="4"/>
  <c r="G24" i="4"/>
  <c r="G26" i="4"/>
  <c r="E20" i="4"/>
  <c r="G20" i="4"/>
  <c r="G21" i="4"/>
  <c r="D16" i="4"/>
  <c r="D10" i="4"/>
  <c r="D9" i="4"/>
  <c r="G9" i="4"/>
  <c r="D7" i="4"/>
  <c r="G7" i="4"/>
  <c r="G12" i="4"/>
  <c r="F50" i="7"/>
  <c r="F35" i="7"/>
  <c r="F14" i="7"/>
  <c r="F12" i="7"/>
  <c r="F20" i="7"/>
  <c r="F8" i="7"/>
  <c r="F15" i="7"/>
  <c r="F23" i="1"/>
  <c r="I14" i="1"/>
  <c r="J55" i="2"/>
  <c r="I55" i="2"/>
  <c r="H55" i="2"/>
  <c r="G55" i="2"/>
  <c r="K52" i="2"/>
  <c r="F6" i="7"/>
  <c r="J6" i="1"/>
  <c r="G10" i="4"/>
  <c r="F7" i="7"/>
  <c r="F54" i="2"/>
  <c r="F55" i="2"/>
  <c r="G52" i="1"/>
  <c r="G53" i="1"/>
  <c r="F32" i="7"/>
  <c r="F31" i="7"/>
  <c r="F12" i="3"/>
  <c r="K12" i="3"/>
  <c r="I12" i="3"/>
  <c r="I14" i="3"/>
  <c r="F12" i="2"/>
  <c r="F14" i="2"/>
  <c r="I12" i="2"/>
  <c r="I14" i="2"/>
  <c r="K50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E13" i="1"/>
  <c r="K13" i="1"/>
  <c r="G14" i="1"/>
  <c r="J18" i="3"/>
  <c r="I18" i="3"/>
  <c r="H18" i="3"/>
  <c r="G18" i="3"/>
  <c r="F18" i="3"/>
  <c r="E18" i="3"/>
  <c r="K18" i="3"/>
  <c r="D18" i="3"/>
  <c r="K17" i="3"/>
  <c r="J18" i="2"/>
  <c r="I18" i="2"/>
  <c r="H18" i="2"/>
  <c r="G18" i="2"/>
  <c r="F18" i="2"/>
  <c r="E18" i="2"/>
  <c r="K18" i="2"/>
  <c r="D18" i="2"/>
  <c r="K17" i="2"/>
  <c r="K13" i="2"/>
  <c r="K11" i="2"/>
  <c r="K10" i="2"/>
  <c r="K9" i="2"/>
  <c r="K8" i="2"/>
  <c r="K7" i="2"/>
  <c r="K70" i="2"/>
  <c r="K69" i="2"/>
  <c r="K68" i="2"/>
  <c r="K9" i="1"/>
  <c r="K7" i="1"/>
  <c r="F37" i="8"/>
  <c r="F39" i="8"/>
  <c r="F41" i="8"/>
  <c r="G9" i="5"/>
  <c r="F12" i="4"/>
  <c r="G41" i="1"/>
  <c r="G11" i="4"/>
  <c r="E14" i="2"/>
  <c r="K14" i="2"/>
  <c r="D12" i="6"/>
  <c r="G10" i="6"/>
  <c r="G10" i="5"/>
  <c r="F24" i="8"/>
  <c r="E24" i="8"/>
  <c r="H42" i="7"/>
  <c r="G42" i="7"/>
  <c r="F42" i="7"/>
  <c r="L25" i="4"/>
  <c r="L26" i="4"/>
  <c r="G25" i="4"/>
  <c r="E28" i="1"/>
  <c r="F28" i="1"/>
  <c r="K28" i="1"/>
  <c r="G28" i="1"/>
  <c r="H28" i="1"/>
  <c r="I28" i="1"/>
  <c r="J28" i="1"/>
  <c r="D28" i="1"/>
  <c r="K27" i="1"/>
  <c r="D18" i="1"/>
  <c r="J18" i="1"/>
  <c r="I18" i="1"/>
  <c r="H18" i="1"/>
  <c r="G18" i="1"/>
  <c r="E18" i="1"/>
  <c r="K17" i="1"/>
  <c r="H62" i="7"/>
  <c r="H66" i="7"/>
  <c r="G62" i="7"/>
  <c r="G66" i="7"/>
  <c r="F17" i="7"/>
  <c r="E17" i="5"/>
  <c r="F48" i="7"/>
  <c r="F52" i="7"/>
  <c r="F18" i="8"/>
  <c r="E17" i="4"/>
  <c r="K8" i="3"/>
  <c r="D14" i="3"/>
  <c r="K14" i="3"/>
  <c r="G14" i="3"/>
  <c r="D17" i="4"/>
  <c r="K65" i="3"/>
  <c r="J71" i="2"/>
  <c r="K65" i="1"/>
  <c r="F36" i="1"/>
  <c r="F37" i="1"/>
  <c r="K37" i="1"/>
  <c r="K36" i="1"/>
  <c r="K21" i="6"/>
  <c r="K23" i="6"/>
  <c r="J21" i="6"/>
  <c r="I21" i="6"/>
  <c r="I23" i="6"/>
  <c r="H21" i="6"/>
  <c r="H23" i="6"/>
  <c r="L20" i="6"/>
  <c r="K17" i="6"/>
  <c r="J17" i="6"/>
  <c r="J23" i="6"/>
  <c r="I17" i="6"/>
  <c r="H17" i="6"/>
  <c r="L16" i="6"/>
  <c r="L15" i="6"/>
  <c r="K12" i="6"/>
  <c r="J12" i="6"/>
  <c r="L12" i="6"/>
  <c r="I12" i="6"/>
  <c r="H12" i="6"/>
  <c r="L11" i="6"/>
  <c r="L10" i="6"/>
  <c r="L9" i="6"/>
  <c r="L8" i="6"/>
  <c r="L7" i="6"/>
  <c r="K21" i="5"/>
  <c r="L21" i="5"/>
  <c r="J21" i="5"/>
  <c r="J23" i="5"/>
  <c r="I21" i="5"/>
  <c r="I23" i="5"/>
  <c r="H21" i="5"/>
  <c r="L20" i="5"/>
  <c r="K17" i="5"/>
  <c r="L17" i="5"/>
  <c r="K23" i="5"/>
  <c r="J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8" i="11"/>
  <c r="F11" i="11"/>
  <c r="G8" i="5"/>
  <c r="G12" i="5"/>
  <c r="G8" i="4"/>
  <c r="K45" i="1"/>
  <c r="H56" i="7"/>
  <c r="G56" i="7"/>
  <c r="H48" i="7"/>
  <c r="G48" i="7"/>
  <c r="G52" i="7"/>
  <c r="H45" i="7"/>
  <c r="H52" i="7"/>
  <c r="G45" i="7"/>
  <c r="F45" i="7"/>
  <c r="H34" i="7"/>
  <c r="H38" i="7"/>
  <c r="G34" i="7"/>
  <c r="H31" i="7"/>
  <c r="G31" i="7"/>
  <c r="G38" i="7"/>
  <c r="H28" i="7"/>
  <c r="G28" i="7"/>
  <c r="F28" i="7"/>
  <c r="H12" i="7"/>
  <c r="H20" i="7"/>
  <c r="G12" i="7"/>
  <c r="G20" i="7"/>
  <c r="J64" i="3"/>
  <c r="K64" i="3"/>
  <c r="D17" i="5"/>
  <c r="G20" i="5"/>
  <c r="G21" i="5"/>
  <c r="G23" i="5"/>
  <c r="L29" i="4"/>
  <c r="L16" i="4"/>
  <c r="L15" i="4"/>
  <c r="L8" i="4"/>
  <c r="L9" i="4"/>
  <c r="L10" i="4"/>
  <c r="L11" i="4"/>
  <c r="L7" i="4"/>
  <c r="H17" i="4"/>
  <c r="H32" i="4"/>
  <c r="I17" i="4"/>
  <c r="I32" i="4"/>
  <c r="J17" i="4"/>
  <c r="L17" i="4"/>
  <c r="K17" i="4"/>
  <c r="I12" i="4"/>
  <c r="J12" i="4"/>
  <c r="K12" i="4"/>
  <c r="H12" i="4"/>
  <c r="L12" i="4"/>
  <c r="K30" i="4"/>
  <c r="L30" i="4"/>
  <c r="L32" i="4"/>
  <c r="J30" i="4"/>
  <c r="J32" i="4"/>
  <c r="I30" i="4"/>
  <c r="F31" i="8"/>
  <c r="E31" i="8"/>
  <c r="D31" i="8"/>
  <c r="H30" i="4"/>
  <c r="J54" i="3"/>
  <c r="I54" i="3"/>
  <c r="H54" i="3"/>
  <c r="G54" i="3"/>
  <c r="F54" i="3"/>
  <c r="E54" i="3"/>
  <c r="K54" i="3"/>
  <c r="D54" i="3"/>
  <c r="K53" i="3"/>
  <c r="J59" i="2"/>
  <c r="I59" i="2"/>
  <c r="H59" i="2"/>
  <c r="H74" i="2"/>
  <c r="G59" i="2"/>
  <c r="F59" i="2"/>
  <c r="E59" i="2"/>
  <c r="D59" i="2"/>
  <c r="K59" i="2"/>
  <c r="K58" i="2"/>
  <c r="J57" i="1"/>
  <c r="I57" i="1"/>
  <c r="H57" i="1"/>
  <c r="K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11" i="11"/>
  <c r="E37" i="8"/>
  <c r="H24" i="7"/>
  <c r="G24" i="7"/>
  <c r="F24" i="7"/>
  <c r="D21" i="6"/>
  <c r="D23" i="6"/>
  <c r="E21" i="6"/>
  <c r="F21" i="6"/>
  <c r="G21" i="6"/>
  <c r="G16" i="6"/>
  <c r="G17" i="6"/>
  <c r="G15" i="6"/>
  <c r="E17" i="6"/>
  <c r="F17" i="6"/>
  <c r="D17" i="6"/>
  <c r="E12" i="6"/>
  <c r="E23" i="6"/>
  <c r="F12" i="6"/>
  <c r="F23" i="6"/>
  <c r="G9" i="6"/>
  <c r="G12" i="6"/>
  <c r="G11" i="6"/>
  <c r="G7" i="6"/>
  <c r="D21" i="5"/>
  <c r="D23" i="5"/>
  <c r="E21" i="5"/>
  <c r="E23" i="5"/>
  <c r="G15" i="5"/>
  <c r="G17" i="5"/>
  <c r="G16" i="5"/>
  <c r="G11" i="5"/>
  <c r="G7" i="5"/>
  <c r="E12" i="5"/>
  <c r="F12" i="5"/>
  <c r="F23" i="5"/>
  <c r="E30" i="4"/>
  <c r="D30" i="4"/>
  <c r="F17" i="4"/>
  <c r="G16" i="4"/>
  <c r="E12" i="4"/>
  <c r="E66" i="3"/>
  <c r="E69" i="3"/>
  <c r="F66" i="3"/>
  <c r="G66" i="3"/>
  <c r="H66" i="3"/>
  <c r="H69" i="3"/>
  <c r="I66" i="3"/>
  <c r="D66" i="3"/>
  <c r="E50" i="3"/>
  <c r="F50" i="3"/>
  <c r="K50" i="3"/>
  <c r="H50" i="3"/>
  <c r="I50" i="3"/>
  <c r="J50" i="3"/>
  <c r="D50" i="3"/>
  <c r="E38" i="3"/>
  <c r="F38" i="3"/>
  <c r="G38" i="3"/>
  <c r="H38" i="3"/>
  <c r="I38" i="3"/>
  <c r="J38" i="3"/>
  <c r="D38" i="3"/>
  <c r="K38" i="3"/>
  <c r="E34" i="3"/>
  <c r="K34" i="3"/>
  <c r="F34" i="3"/>
  <c r="G34" i="3"/>
  <c r="H34" i="3"/>
  <c r="I34" i="3"/>
  <c r="J34" i="3"/>
  <c r="D34" i="3"/>
  <c r="E28" i="3"/>
  <c r="F28" i="3"/>
  <c r="G28" i="3"/>
  <c r="H28" i="3"/>
  <c r="I28" i="3"/>
  <c r="J28" i="3"/>
  <c r="D28" i="3"/>
  <c r="E23" i="3"/>
  <c r="F23" i="3"/>
  <c r="H23" i="3"/>
  <c r="I23" i="3"/>
  <c r="K23" i="3"/>
  <c r="J23" i="3"/>
  <c r="D23" i="3"/>
  <c r="E14" i="3"/>
  <c r="H14" i="3"/>
  <c r="J14" i="3"/>
  <c r="K7" i="3"/>
  <c r="K9" i="3"/>
  <c r="K10" i="3"/>
  <c r="K11" i="3"/>
  <c r="K13" i="3"/>
  <c r="K21" i="3"/>
  <c r="K32" i="3"/>
  <c r="K33" i="3"/>
  <c r="K37" i="3"/>
  <c r="K48" i="3"/>
  <c r="K58" i="3"/>
  <c r="K59" i="3"/>
  <c r="H14" i="1"/>
  <c r="E23" i="1"/>
  <c r="H23" i="1"/>
  <c r="I23" i="1"/>
  <c r="J23" i="1"/>
  <c r="D23" i="1"/>
  <c r="E32" i="1"/>
  <c r="K32" i="1"/>
  <c r="F32" i="1"/>
  <c r="G32" i="1"/>
  <c r="H32" i="1"/>
  <c r="I32" i="1"/>
  <c r="J32" i="1"/>
  <c r="D32" i="1"/>
  <c r="E37" i="1"/>
  <c r="G37" i="1"/>
  <c r="H37" i="1"/>
  <c r="I37" i="1"/>
  <c r="J37" i="1"/>
  <c r="D37" i="1"/>
  <c r="E41" i="1"/>
  <c r="F41" i="1"/>
  <c r="K41" i="1"/>
  <c r="H41" i="1"/>
  <c r="I41" i="1"/>
  <c r="J41" i="1"/>
  <c r="D41" i="1"/>
  <c r="E68" i="1"/>
  <c r="E71" i="1"/>
  <c r="F68" i="1"/>
  <c r="F71" i="1"/>
  <c r="G68" i="1"/>
  <c r="H68" i="1"/>
  <c r="H71" i="1"/>
  <c r="I68" i="1"/>
  <c r="I71" i="1"/>
  <c r="D68" i="1"/>
  <c r="K68" i="1"/>
  <c r="E71" i="2"/>
  <c r="K71" i="2"/>
  <c r="F71" i="2"/>
  <c r="F74" i="2"/>
  <c r="G71" i="2"/>
  <c r="G74" i="2"/>
  <c r="H71" i="2"/>
  <c r="I71" i="2"/>
  <c r="D71" i="2"/>
  <c r="E55" i="2"/>
  <c r="D55" i="2"/>
  <c r="K55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K23" i="2"/>
  <c r="H14" i="2"/>
  <c r="J14" i="2"/>
  <c r="D14" i="2"/>
  <c r="K21" i="2"/>
  <c r="K30" i="2"/>
  <c r="K35" i="2"/>
  <c r="K36" i="2"/>
  <c r="K41" i="2"/>
  <c r="K47" i="2"/>
  <c r="K48" i="2"/>
  <c r="K53" i="2"/>
  <c r="K63" i="2"/>
  <c r="K64" i="2"/>
  <c r="K66" i="1"/>
  <c r="K61" i="1"/>
  <c r="K62" i="1"/>
  <c r="K35" i="1"/>
  <c r="K31" i="1"/>
  <c r="K21" i="1"/>
  <c r="F21" i="5"/>
  <c r="K51" i="1"/>
  <c r="K53" i="1"/>
  <c r="G15" i="4"/>
  <c r="G17" i="4"/>
  <c r="K63" i="3"/>
  <c r="F18" i="1"/>
  <c r="K18" i="1"/>
  <c r="K40" i="1"/>
  <c r="D12" i="5"/>
  <c r="F30" i="4"/>
  <c r="F32" i="4"/>
  <c r="K52" i="1"/>
  <c r="L17" i="6"/>
  <c r="E18" i="8"/>
  <c r="E39" i="8"/>
  <c r="E41" i="8"/>
  <c r="J14" i="1"/>
  <c r="J66" i="3"/>
  <c r="J69" i="3"/>
  <c r="K74" i="2"/>
  <c r="G23" i="6"/>
  <c r="G68" i="7"/>
  <c r="G70" i="7"/>
  <c r="I74" i="2"/>
  <c r="L23" i="5"/>
  <c r="H68" i="7"/>
  <c r="H70" i="7"/>
  <c r="D71" i="1"/>
  <c r="E32" i="4"/>
  <c r="E74" i="2"/>
  <c r="G50" i="3"/>
  <c r="F14" i="3"/>
  <c r="K46" i="1"/>
  <c r="K47" i="1"/>
  <c r="E26" i="4"/>
  <c r="D74" i="2"/>
  <c r="F7" i="10"/>
  <c r="F8" i="10"/>
  <c r="F11" i="10"/>
  <c r="K32" i="4"/>
  <c r="D12" i="4"/>
  <c r="D32" i="4"/>
  <c r="D14" i="1"/>
  <c r="K14" i="1"/>
  <c r="M14" i="1"/>
  <c r="K54" i="2"/>
  <c r="L21" i="6"/>
  <c r="L23" i="6"/>
  <c r="K12" i="2"/>
  <c r="D39" i="8"/>
  <c r="D41" i="8"/>
  <c r="K23" i="1"/>
  <c r="K71" i="1"/>
  <c r="F66" i="7"/>
  <c r="F68" i="7"/>
  <c r="F70" i="7"/>
  <c r="I69" i="3"/>
  <c r="G69" i="3"/>
  <c r="K66" i="3"/>
  <c r="K69" i="3"/>
  <c r="K43" i="3"/>
  <c r="K44" i="3"/>
</calcChain>
</file>

<file path=xl/sharedStrings.xml><?xml version="1.0" encoding="utf-8"?>
<sst xmlns="http://schemas.openxmlformats.org/spreadsheetml/2006/main" count="1702" uniqueCount="260">
  <si>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</si>
  <si>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</si>
  <si>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</si>
  <si>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</si>
  <si>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</si>
  <si>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</si>
  <si>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</si>
  <si>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</si>
  <si>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</si>
  <si>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</si>
  <si>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</si>
  <si>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</si>
  <si>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</si>
  <si>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</si>
  <si>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</si>
  <si>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</si>
  <si>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</si>
  <si>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</si>
  <si>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</si>
  <si>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</si>
  <si>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</si>
  <si>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</si>
  <si>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</si>
  <si>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</si>
  <si>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</si>
  <si>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</si>
  <si>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</si>
  <si>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</si>
  <si>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</si>
  <si>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</si>
  <si>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</si>
  <si>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</si>
  <si>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</si>
  <si>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</si>
  <si>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</si>
  <si>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</si>
  <si>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</si>
  <si>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</si>
  <si>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</si>
  <si>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</si>
  <si>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</si>
  <si>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</si>
  <si>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</si>
  <si>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</si>
  <si>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</si>
  <si>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</si>
  <si>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</si>
  <si>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</si>
  <si>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</si>
  <si>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</si>
  <si>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</si>
  <si>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</si>
  <si>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</si>
  <si>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</si>
  <si>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</si>
  <si>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</si>
  <si>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</si>
  <si>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</si>
  <si>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</si>
  <si>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</si>
  <si>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</si>
  <si>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</si>
  <si>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</si>
  <si>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</si>
  <si>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</si>
  <si>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</si>
  <si>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</si>
  <si>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</si>
  <si>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</si>
  <si>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</si>
  <si>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</si>
  <si>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</si>
  <si>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</si>
  <si>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</si>
  <si>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</si>
  <si>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</si>
  <si>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</si>
  <si>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</si>
  <si>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</si>
  <si>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</si>
  <si>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</si>
  <si>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</si>
  <si>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</si>
  <si>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</si>
  <si>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</si>
  <si>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</si>
  <si>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</si>
  <si>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</si>
  <si>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</si>
  <si>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</si>
  <si>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</si>
  <si>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</si>
  <si>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</si>
  <si>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</si>
  <si>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</si>
  <si>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</si>
  <si>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</si>
  <si>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</si>
  <si>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</si>
  <si>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</si>
  <si>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</si>
  <si>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</si>
  <si>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</si>
  <si>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</si>
  <si>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</si>
  <si>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</si>
  <si>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</si>
  <si>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</si>
  <si>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</si>
  <si>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</si>
  <si>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</si>
  <si>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</si>
  <si>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</si>
  <si>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</si>
  <si>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</si>
  <si>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</si>
  <si>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</si>
  <si>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</si>
  <si>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</si>
  <si>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</si>
  <si>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</si>
  <si>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</si>
  <si>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</si>
  <si>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</si>
  <si>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</si>
  <si>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</si>
  <si>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</si>
  <si>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</si>
  <si>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</si>
  <si>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</si>
  <si>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</si>
  <si>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</si>
  <si>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</si>
  <si>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</si>
  <si>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</si>
  <si>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</si>
  <si>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</si>
  <si>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</si>
  <si>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</si>
  <si>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</si>
  <si>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</si>
  <si>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</si>
  <si>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</si>
  <si>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</si>
  <si>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</si>
  <si>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</si>
  <si>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</si>
  <si>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</si>
  <si>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</si>
  <si>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</si>
  <si>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</si>
  <si>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</si>
  <si>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</si>
  <si>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</si>
  <si>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</si>
  <si>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</si>
  <si>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</si>
  <si>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</si>
  <si>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</si>
  <si>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</si>
  <si>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</si>
  <si>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</si>
  <si>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</si>
  <si>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</si>
  <si>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</si>
  <si>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</si>
  <si>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</si>
  <si>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</si>
  <si>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</si>
  <si>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</si>
  <si>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</si>
  <si>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</si>
  <si>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</si>
  <si>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</si>
  <si>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</si>
  <si>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</si>
  <si>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</si>
  <si>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</si>
  <si>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</si>
  <si>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</si>
  <si>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</si>
  <si>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</si>
  <si>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</si>
  <si>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</si>
  <si>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</si>
  <si>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</si>
  <si>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</si>
  <si>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</si>
  <si>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</si>
  <si>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</si>
  <si>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</si>
  <si>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</si>
  <si>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</si>
  <si>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</si>
  <si>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</si>
  <si>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</si>
  <si>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</si>
  <si>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</si>
  <si>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</si>
  <si>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</si>
  <si>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</si>
  <si>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</si>
  <si>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</si>
  <si>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</si>
  <si>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</si>
  <si>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</si>
  <si>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</si>
  <si>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</si>
  <si>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</si>
  <si>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</si>
  <si>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</si>
  <si>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</si>
  <si>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</si>
  <si>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</si>
  <si>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</si>
  <si>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</si>
  <si>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</si>
  <si>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</si>
  <si>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</si>
  <si>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</si>
  <si>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</si>
  <si>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</si>
  <si>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</si>
  <si>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</si>
  <si>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</si>
  <si>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</si>
  <si>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</si>
  <si>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</si>
  <si>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</si>
  <si>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</si>
  <si>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</si>
  <si>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</si>
  <si>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</si>
  <si>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 xml:space="preserve">  </t>
  </si>
  <si>
    <t>Corrente + capitale</t>
  </si>
  <si>
    <t>Previsioni dell'anno 2024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</si>
  <si>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</si>
  <si>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</si>
  <si>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</si>
  <si>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</si>
  <si>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</si>
  <si>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</si>
  <si>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</si>
  <si>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</si>
  <si>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</si>
  <si>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</si>
  <si>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</si>
  <si>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</si>
  <si>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</si>
  <si>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</si>
  <si>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</si>
  <si>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</si>
  <si>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</si>
  <si>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</si>
  <si>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</si>
  <si>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</si>
  <si>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</si>
  <si>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Allegato B</t>
  </si>
  <si>
    <t>Programmazione e governo delle reti dei servizi sociosanitari e sociali</t>
  </si>
  <si>
    <t>Relazioni finanziarie con le altre autonomie territoriali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</si>
</sst>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_(* #,##0.00_);_(* \(#,##0.00\);_(* &quot;-&quot;??_);_(@_)"/>
    <numFmt numFmtId="185" formatCode="#,##0.00\ &quot;€&quot;"/>
  </numFmts>
  <fonts count="36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9" fontId="4" fillId="2" borderId="12" xfId="0" applyNumberFormat="1" applyFont="1" applyFill="1" applyBorder="1" applyAlignment="1">
      <alignment horizontal="center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49" fontId="30" fillId="2" borderId="12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" fontId="32" fillId="3" borderId="6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" fontId="34" fillId="2" borderId="12" xfId="0" applyNumberFormat="1" applyFont="1" applyFill="1" applyBorder="1" applyAlignment="1">
      <alignment horizontal="right" vertical="center"/>
    </xf>
    <xf numFmtId="49" fontId="30" fillId="2" borderId="23" xfId="0" applyNumberFormat="1" applyFont="1" applyFill="1" applyBorder="1" applyAlignment="1">
      <alignment horizontal="left" vertical="center"/>
    </xf>
    <xf numFmtId="185" fontId="8" fillId="2" borderId="0" xfId="0" applyNumberFormat="1" applyFont="1" applyFill="1" applyAlignment="1">
      <alignment horizontal="left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5" fillId="2" borderId="19" xfId="0" applyFont="1" applyFill="1" applyBorder="1" applyAlignment="1">
      <alignment horizontal="right" vertical="center"/>
    </xf>
    <xf numFmtId="49" fontId="35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5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2"/>
  <sheetViews>
    <sheetView tabSelected="1" topLeftCell="A21" zoomScale="90" zoomScaleNormal="90" zoomScaleSheetLayoutView="110" workbookViewId="0">
      <selection activeCell="F64" sqref="F64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8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H1" s="17" t="s">
        <v>257</v>
      </c>
    </row>
    <row r="2" spans="1:10" s="3" customFormat="1" ht="30" customHeight="1" x14ac:dyDescent="0.2">
      <c r="C2" s="269" t="s">
        <v>205</v>
      </c>
      <c r="D2" s="269"/>
      <c r="E2" s="269"/>
      <c r="F2" s="269"/>
      <c r="G2" s="269"/>
      <c r="H2" s="269"/>
    </row>
    <row r="3" spans="1:10" s="3" customFormat="1" ht="54.75" customHeight="1" x14ac:dyDescent="0.2">
      <c r="A3" s="167"/>
      <c r="B3" s="167"/>
      <c r="C3" s="168" t="s">
        <v>206</v>
      </c>
      <c r="D3" s="168"/>
      <c r="E3" s="169" t="s">
        <v>89</v>
      </c>
      <c r="F3" s="1" t="s">
        <v>228</v>
      </c>
      <c r="G3" s="1" t="s">
        <v>239</v>
      </c>
      <c r="H3" s="1" t="s">
        <v>249</v>
      </c>
      <c r="J3" s="3" t="s">
        <v>233</v>
      </c>
    </row>
    <row r="4" spans="1:10" s="3" customFormat="1" ht="25.5" customHeight="1" x14ac:dyDescent="0.2">
      <c r="A4" s="167"/>
      <c r="B4" s="167"/>
      <c r="C4" s="168"/>
      <c r="D4" s="168"/>
      <c r="E4" s="169"/>
      <c r="F4" s="2" t="s">
        <v>8</v>
      </c>
      <c r="G4" s="2" t="s">
        <v>8</v>
      </c>
      <c r="H4" s="7" t="s">
        <v>8</v>
      </c>
    </row>
    <row r="5" spans="1:10" s="3" customFormat="1" x14ac:dyDescent="0.2">
      <c r="E5" s="170"/>
      <c r="H5" s="8"/>
    </row>
    <row r="6" spans="1:10" s="3" customFormat="1" x14ac:dyDescent="0.2">
      <c r="A6" s="171"/>
      <c r="B6" s="171"/>
      <c r="C6" s="262" t="s">
        <v>88</v>
      </c>
      <c r="D6" s="262"/>
      <c r="E6" s="172" t="s">
        <v>90</v>
      </c>
      <c r="F6" s="200">
        <f>187523.32</f>
        <v>187523.32</v>
      </c>
      <c r="G6" s="200">
        <v>0</v>
      </c>
      <c r="H6" s="30">
        <v>0</v>
      </c>
    </row>
    <row r="7" spans="1:10" s="3" customFormat="1" x14ac:dyDescent="0.2">
      <c r="C7" s="263"/>
      <c r="D7" s="263"/>
      <c r="E7" s="173" t="s">
        <v>91</v>
      </c>
      <c r="F7" s="31">
        <f>548259.72+354973.24</f>
        <v>903232.96</v>
      </c>
      <c r="G7" s="31">
        <v>0</v>
      </c>
      <c r="H7" s="32">
        <v>0</v>
      </c>
    </row>
    <row r="8" spans="1:10" s="3" customFormat="1" ht="22.5" customHeight="1" x14ac:dyDescent="0.2">
      <c r="C8" s="264"/>
      <c r="D8" s="264"/>
      <c r="E8" s="174" t="s">
        <v>240</v>
      </c>
      <c r="F8" s="208">
        <f>4979142.52+2070494.38</f>
        <v>7049636.8999999994</v>
      </c>
      <c r="G8" s="15"/>
      <c r="H8" s="16"/>
    </row>
    <row r="9" spans="1:10" s="3" customFormat="1" x14ac:dyDescent="0.2">
      <c r="E9" s="170"/>
      <c r="G9" s="10"/>
      <c r="H9" s="8"/>
    </row>
    <row r="10" spans="1:10" s="3" customFormat="1" x14ac:dyDescent="0.2">
      <c r="A10" s="265"/>
      <c r="B10" s="265"/>
      <c r="C10" s="175"/>
      <c r="D10" s="175"/>
      <c r="E10" s="176" t="s">
        <v>92</v>
      </c>
      <c r="F10" s="28"/>
      <c r="G10" s="11"/>
      <c r="H10" s="11"/>
    </row>
    <row r="11" spans="1:10" s="3" customFormat="1" x14ac:dyDescent="0.2">
      <c r="A11" s="265"/>
      <c r="B11" s="265"/>
      <c r="C11" s="177"/>
      <c r="D11" s="177"/>
      <c r="E11" s="178"/>
      <c r="F11" s="29"/>
      <c r="G11" s="12"/>
      <c r="H11" s="12"/>
    </row>
    <row r="12" spans="1:10" s="3" customFormat="1" x14ac:dyDescent="0.2">
      <c r="A12" s="265"/>
      <c r="B12" s="265"/>
      <c r="C12" s="179" t="s">
        <v>93</v>
      </c>
      <c r="D12" s="179"/>
      <c r="E12" s="180" t="s">
        <v>94</v>
      </c>
      <c r="F12" s="33">
        <f>F13+F14+F15</f>
        <v>22585650.120000001</v>
      </c>
      <c r="G12" s="33">
        <f>G13+G14+G15</f>
        <v>22684990.07</v>
      </c>
      <c r="H12" s="33">
        <f>H13+H14+H15</f>
        <v>22590146.07</v>
      </c>
    </row>
    <row r="13" spans="1:10" s="3" customFormat="1" x14ac:dyDescent="0.2">
      <c r="A13" s="266" t="s">
        <v>95</v>
      </c>
      <c r="B13" s="266"/>
      <c r="C13" s="181" t="s">
        <v>96</v>
      </c>
      <c r="D13" s="181"/>
      <c r="E13" s="182" t="s">
        <v>97</v>
      </c>
      <c r="F13" s="34">
        <v>172676.07</v>
      </c>
      <c r="G13" s="35">
        <v>172676.07</v>
      </c>
      <c r="H13" s="31">
        <v>172676.07</v>
      </c>
    </row>
    <row r="14" spans="1:10" s="3" customFormat="1" x14ac:dyDescent="0.2">
      <c r="A14" s="267"/>
      <c r="B14" s="267"/>
      <c r="C14" s="181" t="s">
        <v>98</v>
      </c>
      <c r="D14" s="181"/>
      <c r="E14" s="182" t="s">
        <v>99</v>
      </c>
      <c r="F14" s="36">
        <f>14500+10750</f>
        <v>25250</v>
      </c>
      <c r="G14" s="31">
        <v>12500</v>
      </c>
      <c r="H14" s="31">
        <v>12500</v>
      </c>
    </row>
    <row r="15" spans="1:10" s="3" customFormat="1" x14ac:dyDescent="0.2">
      <c r="A15" s="267"/>
      <c r="B15" s="267"/>
      <c r="C15" s="181" t="s">
        <v>100</v>
      </c>
      <c r="D15" s="181"/>
      <c r="E15" s="182" t="s">
        <v>101</v>
      </c>
      <c r="F15" s="34">
        <f>22340114+5290+42320.05</f>
        <v>22387724.050000001</v>
      </c>
      <c r="G15" s="35">
        <v>22499814</v>
      </c>
      <c r="H15" s="35">
        <v>22404970</v>
      </c>
    </row>
    <row r="16" spans="1:10" s="3" customFormat="1" x14ac:dyDescent="0.2">
      <c r="A16" s="268"/>
      <c r="B16" s="268"/>
      <c r="C16" s="183"/>
      <c r="D16" s="183"/>
      <c r="E16" s="184"/>
      <c r="F16" s="37"/>
      <c r="G16" s="38"/>
      <c r="H16" s="38"/>
    </row>
    <row r="17" spans="1:8" s="3" customFormat="1" x14ac:dyDescent="0.2">
      <c r="A17" s="265"/>
      <c r="B17" s="265"/>
      <c r="C17" s="179" t="s">
        <v>102</v>
      </c>
      <c r="D17" s="179"/>
      <c r="E17" s="180" t="s">
        <v>103</v>
      </c>
      <c r="F17" s="39">
        <f>SUM(F18)</f>
        <v>5500</v>
      </c>
      <c r="G17" s="40">
        <v>0</v>
      </c>
      <c r="H17" s="40">
        <v>0</v>
      </c>
    </row>
    <row r="18" spans="1:8" s="3" customFormat="1" x14ac:dyDescent="0.2">
      <c r="A18" s="267"/>
      <c r="B18" s="267"/>
      <c r="C18" s="181" t="s">
        <v>104</v>
      </c>
      <c r="D18" s="181"/>
      <c r="E18" s="182" t="s">
        <v>105</v>
      </c>
      <c r="F18" s="36">
        <v>5500</v>
      </c>
      <c r="G18" s="31">
        <v>0</v>
      </c>
      <c r="H18" s="31">
        <v>0</v>
      </c>
    </row>
    <row r="19" spans="1:8" s="3" customFormat="1" x14ac:dyDescent="0.2">
      <c r="A19" s="268"/>
      <c r="B19" s="268"/>
      <c r="C19" s="183"/>
      <c r="D19" s="183"/>
      <c r="E19" s="184"/>
      <c r="F19" s="37"/>
      <c r="G19" s="38"/>
      <c r="H19" s="38"/>
    </row>
    <row r="20" spans="1:8" s="3" customFormat="1" x14ac:dyDescent="0.2">
      <c r="A20" s="267"/>
      <c r="B20" s="267"/>
      <c r="C20" s="185" t="s">
        <v>95</v>
      </c>
      <c r="D20" s="185"/>
      <c r="E20" s="186" t="s">
        <v>106</v>
      </c>
      <c r="F20" s="41">
        <f>F17+F12</f>
        <v>22591150.120000001</v>
      </c>
      <c r="G20" s="42">
        <f>G17+G12</f>
        <v>22684990.07</v>
      </c>
      <c r="H20" s="42">
        <f>H17+H12</f>
        <v>22590146.07</v>
      </c>
    </row>
    <row r="21" spans="1:8" s="3" customFormat="1" x14ac:dyDescent="0.2">
      <c r="A21" s="267"/>
      <c r="B21" s="267"/>
      <c r="E21" s="187"/>
      <c r="F21" s="4"/>
      <c r="G21" s="13"/>
      <c r="H21" s="8"/>
    </row>
    <row r="22" spans="1:8" s="3" customFormat="1" x14ac:dyDescent="0.2">
      <c r="A22" s="265"/>
      <c r="B22" s="265"/>
      <c r="C22" s="175"/>
      <c r="D22" s="175"/>
      <c r="E22" s="176" t="s">
        <v>107</v>
      </c>
      <c r="F22" s="28"/>
      <c r="G22" s="11"/>
      <c r="H22" s="11"/>
    </row>
    <row r="23" spans="1:8" s="3" customFormat="1" x14ac:dyDescent="0.2">
      <c r="A23" s="265"/>
      <c r="B23" s="265"/>
      <c r="C23" s="177"/>
      <c r="D23" s="177"/>
      <c r="E23" s="178"/>
      <c r="F23" s="29"/>
      <c r="G23" s="12"/>
      <c r="H23" s="12"/>
    </row>
    <row r="24" spans="1:8" s="3" customFormat="1" ht="25.5" x14ac:dyDescent="0.2">
      <c r="A24" s="265"/>
      <c r="B24" s="265"/>
      <c r="C24" s="179" t="s">
        <v>108</v>
      </c>
      <c r="D24" s="179"/>
      <c r="E24" s="180" t="s">
        <v>109</v>
      </c>
      <c r="F24" s="39">
        <f>F25+F26</f>
        <v>2000</v>
      </c>
      <c r="G24" s="40">
        <f>G25+G26</f>
        <v>2000</v>
      </c>
      <c r="H24" s="40">
        <f>H25+H26</f>
        <v>2000</v>
      </c>
    </row>
    <row r="25" spans="1:8" s="3" customFormat="1" x14ac:dyDescent="0.2">
      <c r="A25" s="266" t="s">
        <v>110</v>
      </c>
      <c r="B25" s="266"/>
      <c r="C25" s="181" t="s">
        <v>111</v>
      </c>
      <c r="D25" s="181"/>
      <c r="E25" s="182" t="s">
        <v>112</v>
      </c>
      <c r="F25" s="36">
        <v>2000</v>
      </c>
      <c r="G25" s="31">
        <v>2000</v>
      </c>
      <c r="H25" s="31">
        <v>2000</v>
      </c>
    </row>
    <row r="26" spans="1:8" s="3" customFormat="1" x14ac:dyDescent="0.2">
      <c r="A26" s="267"/>
      <c r="B26" s="267"/>
      <c r="C26" s="181" t="s">
        <v>113</v>
      </c>
      <c r="D26" s="181"/>
      <c r="E26" s="182" t="s">
        <v>114</v>
      </c>
      <c r="F26" s="36">
        <v>0</v>
      </c>
      <c r="G26" s="31">
        <v>0</v>
      </c>
      <c r="H26" s="31">
        <v>0</v>
      </c>
    </row>
    <row r="27" spans="1:8" s="3" customFormat="1" x14ac:dyDescent="0.2">
      <c r="A27" s="268"/>
      <c r="B27" s="268"/>
      <c r="C27" s="183"/>
      <c r="D27" s="183"/>
      <c r="E27" s="184"/>
      <c r="F27" s="37"/>
      <c r="G27" s="38"/>
      <c r="H27" s="38"/>
    </row>
    <row r="28" spans="1:8" s="3" customFormat="1" ht="25.5" x14ac:dyDescent="0.2">
      <c r="A28" s="265"/>
      <c r="B28" s="265"/>
      <c r="C28" s="179" t="s">
        <v>115</v>
      </c>
      <c r="D28" s="179"/>
      <c r="E28" s="180" t="s">
        <v>116</v>
      </c>
      <c r="F28" s="39">
        <f>F29</f>
        <v>100</v>
      </c>
      <c r="G28" s="39">
        <f>G29</f>
        <v>100</v>
      </c>
      <c r="H28" s="39">
        <f>H29</f>
        <v>100</v>
      </c>
    </row>
    <row r="29" spans="1:8" s="3" customFormat="1" ht="25.5" x14ac:dyDescent="0.2">
      <c r="A29" s="267"/>
      <c r="B29" s="267"/>
      <c r="C29" s="181" t="s">
        <v>117</v>
      </c>
      <c r="D29" s="181"/>
      <c r="E29" s="182" t="s">
        <v>118</v>
      </c>
      <c r="F29" s="36">
        <v>100</v>
      </c>
      <c r="G29" s="31">
        <v>100</v>
      </c>
      <c r="H29" s="31">
        <v>100</v>
      </c>
    </row>
    <row r="30" spans="1:8" s="3" customFormat="1" x14ac:dyDescent="0.2">
      <c r="A30" s="268"/>
      <c r="B30" s="268"/>
      <c r="C30" s="183"/>
      <c r="D30" s="183"/>
      <c r="E30" s="184"/>
      <c r="F30" s="37"/>
      <c r="G30" s="38"/>
      <c r="H30" s="38"/>
    </row>
    <row r="31" spans="1:8" s="3" customFormat="1" x14ac:dyDescent="0.2">
      <c r="A31" s="265"/>
      <c r="B31" s="265"/>
      <c r="C31" s="179" t="s">
        <v>119</v>
      </c>
      <c r="D31" s="179"/>
      <c r="E31" s="180" t="s">
        <v>120</v>
      </c>
      <c r="F31" s="39">
        <f>F32</f>
        <v>33399.68</v>
      </c>
      <c r="G31" s="39">
        <f>G32</f>
        <v>20</v>
      </c>
      <c r="H31" s="39">
        <f>H32</f>
        <v>20</v>
      </c>
    </row>
    <row r="32" spans="1:8" s="3" customFormat="1" x14ac:dyDescent="0.2">
      <c r="A32" s="267"/>
      <c r="B32" s="267"/>
      <c r="C32" s="181" t="s">
        <v>121</v>
      </c>
      <c r="D32" s="181"/>
      <c r="E32" s="182" t="s">
        <v>122</v>
      </c>
      <c r="F32" s="36">
        <f>20+33379.68</f>
        <v>33399.68</v>
      </c>
      <c r="G32" s="31">
        <v>20</v>
      </c>
      <c r="H32" s="31">
        <v>20</v>
      </c>
    </row>
    <row r="33" spans="1:11" s="3" customFormat="1" x14ac:dyDescent="0.2">
      <c r="A33" s="268"/>
      <c r="B33" s="268"/>
      <c r="C33" s="183"/>
      <c r="D33" s="183"/>
      <c r="E33" s="184"/>
      <c r="F33" s="37"/>
      <c r="G33" s="38"/>
      <c r="H33" s="38"/>
    </row>
    <row r="34" spans="1:11" s="3" customFormat="1" x14ac:dyDescent="0.2">
      <c r="A34" s="265"/>
      <c r="B34" s="265"/>
      <c r="C34" s="179" t="s">
        <v>123</v>
      </c>
      <c r="D34" s="179"/>
      <c r="E34" s="180" t="s">
        <v>124</v>
      </c>
      <c r="F34" s="33">
        <f>F35+F36</f>
        <v>201386.09999999998</v>
      </c>
      <c r="G34" s="33">
        <f>G35+G36</f>
        <v>214097.66</v>
      </c>
      <c r="H34" s="33">
        <f>H35+H36</f>
        <v>220714.01</v>
      </c>
    </row>
    <row r="35" spans="1:11" s="3" customFormat="1" x14ac:dyDescent="0.2">
      <c r="A35" s="267"/>
      <c r="B35" s="267"/>
      <c r="C35" s="181" t="s">
        <v>125</v>
      </c>
      <c r="D35" s="181"/>
      <c r="E35" s="182" t="s">
        <v>126</v>
      </c>
      <c r="F35" s="34">
        <f>176216+17859.25-21491.83</f>
        <v>172583.41999999998</v>
      </c>
      <c r="G35" s="35">
        <v>182161.66</v>
      </c>
      <c r="H35" s="35">
        <v>188378.01</v>
      </c>
      <c r="J35" s="3" t="s">
        <v>88</v>
      </c>
      <c r="K35" s="188" t="s">
        <v>88</v>
      </c>
    </row>
    <row r="36" spans="1:11" s="3" customFormat="1" x14ac:dyDescent="0.2">
      <c r="A36" s="267"/>
      <c r="B36" s="267"/>
      <c r="C36" s="181" t="s">
        <v>127</v>
      </c>
      <c r="D36" s="181"/>
      <c r="E36" s="182" t="s">
        <v>128</v>
      </c>
      <c r="F36" s="34">
        <f>45236-18100+1666.68</f>
        <v>28802.68</v>
      </c>
      <c r="G36" s="35">
        <v>31936</v>
      </c>
      <c r="H36" s="35">
        <v>32336</v>
      </c>
    </row>
    <row r="37" spans="1:11" s="3" customFormat="1" x14ac:dyDescent="0.2">
      <c r="A37" s="268"/>
      <c r="B37" s="268"/>
      <c r="C37" s="183"/>
      <c r="D37" s="183"/>
      <c r="E37" s="184"/>
      <c r="F37" s="37"/>
      <c r="G37" s="38"/>
      <c r="H37" s="38"/>
    </row>
    <row r="38" spans="1:11" s="3" customFormat="1" x14ac:dyDescent="0.2">
      <c r="A38" s="267"/>
      <c r="B38" s="267"/>
      <c r="C38" s="185" t="s">
        <v>110</v>
      </c>
      <c r="D38" s="185"/>
      <c r="E38" s="186" t="s">
        <v>129</v>
      </c>
      <c r="F38" s="41">
        <f>F34+F31+F28+F24</f>
        <v>236885.77999999997</v>
      </c>
      <c r="G38" s="42">
        <f>G34+G31+G28+G24</f>
        <v>216217.66</v>
      </c>
      <c r="H38" s="42">
        <f>H34+H31+H28+H24</f>
        <v>222834.01</v>
      </c>
    </row>
    <row r="39" spans="1:11" s="3" customFormat="1" x14ac:dyDescent="0.2">
      <c r="A39" s="267"/>
      <c r="B39" s="267"/>
      <c r="E39" s="187"/>
      <c r="F39" s="4"/>
      <c r="G39" s="13"/>
      <c r="H39" s="8"/>
    </row>
    <row r="40" spans="1:11" s="3" customFormat="1" x14ac:dyDescent="0.2">
      <c r="A40" s="265"/>
      <c r="B40" s="265"/>
      <c r="C40" s="175"/>
      <c r="D40" s="175"/>
      <c r="E40" s="176" t="s">
        <v>130</v>
      </c>
      <c r="F40" s="28"/>
      <c r="G40" s="11"/>
      <c r="H40" s="11"/>
    </row>
    <row r="41" spans="1:11" s="3" customFormat="1" x14ac:dyDescent="0.2">
      <c r="A41" s="265"/>
      <c r="B41" s="265"/>
      <c r="C41" s="177"/>
      <c r="D41" s="177"/>
      <c r="E41" s="178"/>
      <c r="F41" s="29"/>
      <c r="G41" s="12"/>
      <c r="H41" s="12"/>
    </row>
    <row r="42" spans="1:11" s="3" customFormat="1" x14ac:dyDescent="0.2">
      <c r="A42" s="265"/>
      <c r="B42" s="265"/>
      <c r="C42" s="179" t="s">
        <v>131</v>
      </c>
      <c r="D42" s="179"/>
      <c r="E42" s="180" t="s">
        <v>132</v>
      </c>
      <c r="F42" s="33">
        <f>F43</f>
        <v>1497886</v>
      </c>
      <c r="G42" s="33">
        <f>G43</f>
        <v>1238186</v>
      </c>
      <c r="H42" s="33">
        <f>H43</f>
        <v>733030</v>
      </c>
    </row>
    <row r="43" spans="1:11" s="3" customFormat="1" x14ac:dyDescent="0.2">
      <c r="A43" s="266" t="s">
        <v>133</v>
      </c>
      <c r="B43" s="266"/>
      <c r="C43" s="181" t="s">
        <v>134</v>
      </c>
      <c r="D43" s="181"/>
      <c r="E43" s="182" t="s">
        <v>135</v>
      </c>
      <c r="F43" s="34">
        <v>1497886</v>
      </c>
      <c r="G43" s="35">
        <v>1238186</v>
      </c>
      <c r="H43" s="35">
        <v>733030</v>
      </c>
    </row>
    <row r="44" spans="1:11" s="3" customFormat="1" x14ac:dyDescent="0.2">
      <c r="A44" s="268"/>
      <c r="B44" s="268"/>
      <c r="C44" s="183"/>
      <c r="D44" s="183"/>
      <c r="E44" s="184"/>
      <c r="F44" s="37"/>
      <c r="G44" s="38"/>
      <c r="H44" s="38"/>
    </row>
    <row r="45" spans="1:11" s="3" customFormat="1" x14ac:dyDescent="0.2">
      <c r="A45" s="265"/>
      <c r="B45" s="265"/>
      <c r="C45" s="179" t="s">
        <v>136</v>
      </c>
      <c r="D45" s="179"/>
      <c r="E45" s="180" t="s">
        <v>137</v>
      </c>
      <c r="F45" s="39">
        <f>F46</f>
        <v>0</v>
      </c>
      <c r="G45" s="39">
        <f>G46</f>
        <v>0</v>
      </c>
      <c r="H45" s="39">
        <f>H46</f>
        <v>0</v>
      </c>
    </row>
    <row r="46" spans="1:11" s="3" customFormat="1" x14ac:dyDescent="0.2">
      <c r="A46" s="267"/>
      <c r="B46" s="267"/>
      <c r="C46" s="181" t="s">
        <v>138</v>
      </c>
      <c r="D46" s="181"/>
      <c r="E46" s="182" t="s">
        <v>139</v>
      </c>
      <c r="F46" s="36">
        <v>0</v>
      </c>
      <c r="G46" s="31">
        <v>0</v>
      </c>
      <c r="H46" s="31">
        <v>0</v>
      </c>
    </row>
    <row r="47" spans="1:11" s="3" customFormat="1" x14ac:dyDescent="0.2">
      <c r="A47" s="268"/>
      <c r="B47" s="268"/>
      <c r="C47" s="183"/>
      <c r="D47" s="183"/>
      <c r="E47" s="184"/>
      <c r="F47" s="37"/>
      <c r="G47" s="38"/>
      <c r="H47" s="38"/>
    </row>
    <row r="48" spans="1:11" s="3" customFormat="1" x14ac:dyDescent="0.2">
      <c r="A48" s="265"/>
      <c r="B48" s="265"/>
      <c r="C48" s="179" t="s">
        <v>140</v>
      </c>
      <c r="D48" s="179"/>
      <c r="E48" s="180" t="s">
        <v>141</v>
      </c>
      <c r="F48" s="39">
        <f>F49+F50</f>
        <v>88175.16</v>
      </c>
      <c r="G48" s="39">
        <f>G49+G50</f>
        <v>0</v>
      </c>
      <c r="H48" s="39">
        <f>H49+H50</f>
        <v>0</v>
      </c>
    </row>
    <row r="49" spans="1:8" s="3" customFormat="1" ht="25.5" x14ac:dyDescent="0.2">
      <c r="A49" s="267"/>
      <c r="B49" s="267"/>
      <c r="C49" s="181" t="s">
        <v>142</v>
      </c>
      <c r="D49" s="181"/>
      <c r="E49" s="182" t="s">
        <v>143</v>
      </c>
      <c r="F49" s="36">
        <v>88175.16</v>
      </c>
      <c r="G49" s="31">
        <v>0</v>
      </c>
      <c r="H49" s="31">
        <v>0</v>
      </c>
    </row>
    <row r="50" spans="1:8" s="3" customFormat="1" x14ac:dyDescent="0.2">
      <c r="A50" s="267"/>
      <c r="B50" s="267"/>
      <c r="C50" s="181" t="s">
        <v>144</v>
      </c>
      <c r="D50" s="181"/>
      <c r="E50" s="182" t="s">
        <v>145</v>
      </c>
      <c r="F50" s="36">
        <f>55000-55000</f>
        <v>0</v>
      </c>
      <c r="G50" s="31">
        <v>0</v>
      </c>
      <c r="H50" s="31">
        <v>0</v>
      </c>
    </row>
    <row r="51" spans="1:8" s="3" customFormat="1" x14ac:dyDescent="0.2">
      <c r="A51" s="268"/>
      <c r="B51" s="268"/>
      <c r="C51" s="183"/>
      <c r="D51" s="183"/>
      <c r="E51" s="184"/>
      <c r="F51" s="37"/>
      <c r="G51" s="38"/>
      <c r="H51" s="38"/>
    </row>
    <row r="52" spans="1:8" s="3" customFormat="1" x14ac:dyDescent="0.2">
      <c r="A52" s="267"/>
      <c r="B52" s="267"/>
      <c r="C52" s="185" t="s">
        <v>133</v>
      </c>
      <c r="D52" s="185"/>
      <c r="E52" s="186" t="s">
        <v>146</v>
      </c>
      <c r="F52" s="41">
        <f>F48+F45+F42</f>
        <v>1586061.16</v>
      </c>
      <c r="G52" s="42">
        <f>G48+G45+G42</f>
        <v>1238186</v>
      </c>
      <c r="H52" s="42">
        <f>H48+H45+H42</f>
        <v>733030</v>
      </c>
    </row>
    <row r="53" spans="1:8" s="3" customFormat="1" x14ac:dyDescent="0.2">
      <c r="A53" s="265"/>
      <c r="B53" s="265"/>
      <c r="C53" s="175"/>
      <c r="D53" s="175"/>
      <c r="E53" s="176" t="s">
        <v>147</v>
      </c>
      <c r="F53" s="28"/>
      <c r="G53" s="11"/>
      <c r="H53" s="11"/>
    </row>
    <row r="54" spans="1:8" s="3" customFormat="1" x14ac:dyDescent="0.2">
      <c r="A54" s="209"/>
      <c r="B54" s="209"/>
      <c r="C54" s="177"/>
      <c r="D54" s="177"/>
      <c r="E54" s="189"/>
      <c r="F54" s="29"/>
      <c r="G54" s="12"/>
      <c r="H54" s="12"/>
    </row>
    <row r="55" spans="1:8" s="3" customFormat="1" x14ac:dyDescent="0.2">
      <c r="A55" s="265"/>
      <c r="B55" s="265"/>
      <c r="C55" s="177"/>
      <c r="D55" s="177"/>
      <c r="E55" s="178"/>
      <c r="F55" s="29"/>
      <c r="G55" s="12"/>
      <c r="H55" s="12"/>
    </row>
    <row r="56" spans="1:8" s="3" customFormat="1" x14ac:dyDescent="0.2">
      <c r="A56" s="265"/>
      <c r="B56" s="265"/>
      <c r="C56" s="179" t="s">
        <v>148</v>
      </c>
      <c r="D56" s="179"/>
      <c r="E56" s="180" t="s">
        <v>149</v>
      </c>
      <c r="F56" s="33">
        <f>F57+F58+F59+F60</f>
        <v>6619942.21</v>
      </c>
      <c r="G56" s="33">
        <f>G57+G58+G59+G60</f>
        <v>5704956.2699999996</v>
      </c>
      <c r="H56" s="33">
        <f>H57+H58+H59+H60</f>
        <v>5704509.9199999999</v>
      </c>
    </row>
    <row r="57" spans="1:8" s="3" customFormat="1" x14ac:dyDescent="0.2">
      <c r="A57" s="266" t="s">
        <v>150</v>
      </c>
      <c r="B57" s="266"/>
      <c r="C57" s="181" t="s">
        <v>151</v>
      </c>
      <c r="D57" s="181"/>
      <c r="E57" s="182" t="s">
        <v>152</v>
      </c>
      <c r="F57" s="34">
        <f>1987442.21+80000+7000-50000-20000</f>
        <v>2004442.21</v>
      </c>
      <c r="G57" s="35">
        <v>1987456.27</v>
      </c>
      <c r="H57" s="35">
        <v>1987009.92</v>
      </c>
    </row>
    <row r="58" spans="1:8" s="3" customFormat="1" x14ac:dyDescent="0.2">
      <c r="A58" s="267"/>
      <c r="B58" s="267"/>
      <c r="C58" s="181" t="s">
        <v>153</v>
      </c>
      <c r="D58" s="181"/>
      <c r="E58" s="182" t="s">
        <v>154</v>
      </c>
      <c r="F58" s="34">
        <v>3206000</v>
      </c>
      <c r="G58" s="35">
        <v>3206000</v>
      </c>
      <c r="H58" s="35">
        <v>3206000</v>
      </c>
    </row>
    <row r="59" spans="1:8" s="3" customFormat="1" x14ac:dyDescent="0.2">
      <c r="A59" s="267"/>
      <c r="B59" s="267"/>
      <c r="C59" s="181" t="s">
        <v>155</v>
      </c>
      <c r="D59" s="181"/>
      <c r="E59" s="182" t="s">
        <v>156</v>
      </c>
      <c r="F59" s="36">
        <v>31500</v>
      </c>
      <c r="G59" s="31">
        <v>31500</v>
      </c>
      <c r="H59" s="31">
        <v>31500</v>
      </c>
    </row>
    <row r="60" spans="1:8" s="3" customFormat="1" x14ac:dyDescent="0.2">
      <c r="A60" s="267"/>
      <c r="B60" s="267"/>
      <c r="C60" s="181" t="s">
        <v>157</v>
      </c>
      <c r="D60" s="181"/>
      <c r="E60" s="182" t="s">
        <v>158</v>
      </c>
      <c r="F60" s="36">
        <f>1335000-7000+50000</f>
        <v>1378000</v>
      </c>
      <c r="G60" s="31">
        <v>480000</v>
      </c>
      <c r="H60" s="31">
        <v>480000</v>
      </c>
    </row>
    <row r="61" spans="1:8" s="3" customFormat="1" x14ac:dyDescent="0.2">
      <c r="A61" s="268"/>
      <c r="B61" s="268"/>
      <c r="C61" s="183"/>
      <c r="D61" s="183"/>
      <c r="E61" s="184"/>
      <c r="F61" s="37"/>
      <c r="G61" s="38"/>
      <c r="H61" s="38"/>
    </row>
    <row r="62" spans="1:8" s="3" customFormat="1" x14ac:dyDescent="0.2">
      <c r="A62" s="265"/>
      <c r="B62" s="265"/>
      <c r="C62" s="179" t="s">
        <v>159</v>
      </c>
      <c r="D62" s="179"/>
      <c r="E62" s="180" t="s">
        <v>160</v>
      </c>
      <c r="F62" s="39">
        <f>SUM(F63+F64)</f>
        <v>112000</v>
      </c>
      <c r="G62" s="39">
        <f>SUM(G63:G64)</f>
        <v>2000</v>
      </c>
      <c r="H62" s="39">
        <f>SUM(H63:H64)</f>
        <v>2000</v>
      </c>
    </row>
    <row r="63" spans="1:8" s="3" customFormat="1" x14ac:dyDescent="0.2">
      <c r="A63" s="267"/>
      <c r="B63" s="267"/>
      <c r="C63" s="181" t="s">
        <v>161</v>
      </c>
      <c r="D63" s="181"/>
      <c r="E63" s="182" t="s">
        <v>162</v>
      </c>
      <c r="F63" s="36">
        <f>2000+16000</f>
        <v>18000</v>
      </c>
      <c r="G63" s="31">
        <v>2000</v>
      </c>
      <c r="H63" s="31">
        <v>2000</v>
      </c>
    </row>
    <row r="64" spans="1:8" s="3" customFormat="1" x14ac:dyDescent="0.2">
      <c r="A64" s="210"/>
      <c r="B64" s="210"/>
      <c r="C64" s="181" t="s">
        <v>241</v>
      </c>
      <c r="D64" s="181"/>
      <c r="E64" s="182" t="s">
        <v>242</v>
      </c>
      <c r="F64" s="36">
        <f>20000+70000-16000+20000</f>
        <v>94000</v>
      </c>
      <c r="G64" s="31">
        <v>0</v>
      </c>
      <c r="H64" s="31">
        <v>0</v>
      </c>
    </row>
    <row r="65" spans="1:9" s="3" customFormat="1" x14ac:dyDescent="0.2">
      <c r="A65" s="268"/>
      <c r="B65" s="270"/>
      <c r="C65" s="183"/>
      <c r="D65" s="183"/>
      <c r="E65" s="184"/>
      <c r="F65" s="37"/>
      <c r="G65" s="38"/>
      <c r="H65" s="38"/>
    </row>
    <row r="66" spans="1:9" s="3" customFormat="1" x14ac:dyDescent="0.2">
      <c r="A66" s="267"/>
      <c r="B66" s="267"/>
      <c r="C66" s="185" t="s">
        <v>150</v>
      </c>
      <c r="D66" s="185"/>
      <c r="E66" s="186" t="s">
        <v>163</v>
      </c>
      <c r="F66" s="41">
        <f>F62+F56</f>
        <v>6731942.21</v>
      </c>
      <c r="G66" s="42">
        <f>G62+G56</f>
        <v>5706956.2699999996</v>
      </c>
      <c r="H66" s="42">
        <f>H62+H56</f>
        <v>5706509.9199999999</v>
      </c>
    </row>
    <row r="67" spans="1:9" s="3" customFormat="1" x14ac:dyDescent="0.2">
      <c r="A67" s="267"/>
      <c r="B67" s="267"/>
      <c r="E67" s="187"/>
      <c r="F67" s="4"/>
      <c r="G67" s="13"/>
      <c r="H67" s="8"/>
    </row>
    <row r="68" spans="1:9" s="3" customFormat="1" x14ac:dyDescent="0.2">
      <c r="A68" s="268"/>
      <c r="B68" s="268"/>
      <c r="C68" s="190"/>
      <c r="D68" s="190"/>
      <c r="E68" s="191" t="s">
        <v>164</v>
      </c>
      <c r="F68" s="43">
        <f>F66+F52+F38+F20</f>
        <v>31146039.270000003</v>
      </c>
      <c r="G68" s="44">
        <f>G66+G52+G38+G20</f>
        <v>29846350</v>
      </c>
      <c r="H68" s="45">
        <f>H66+H52+H38+H20</f>
        <v>29252520</v>
      </c>
    </row>
    <row r="69" spans="1:9" s="3" customFormat="1" x14ac:dyDescent="0.2">
      <c r="A69" s="268"/>
      <c r="B69" s="268"/>
      <c r="C69" s="192"/>
      <c r="D69" s="192"/>
      <c r="E69" s="193"/>
      <c r="F69" s="5"/>
      <c r="G69" s="14"/>
      <c r="H69" s="9"/>
    </row>
    <row r="70" spans="1:9" s="3" customFormat="1" x14ac:dyDescent="0.2">
      <c r="A70" s="268"/>
      <c r="B70" s="268"/>
      <c r="C70" s="190"/>
      <c r="D70" s="190"/>
      <c r="E70" s="191" t="s">
        <v>165</v>
      </c>
      <c r="F70" s="194">
        <f>F68+F8+F7+F6</f>
        <v>39286432.450000003</v>
      </c>
      <c r="G70" s="46">
        <f>G68+G8+G7+G6</f>
        <v>29846350</v>
      </c>
      <c r="H70" s="47">
        <f>H68+H8+H7+H6</f>
        <v>29252520</v>
      </c>
    </row>
    <row r="71" spans="1:9" x14ac:dyDescent="0.2">
      <c r="F71" s="201" t="s">
        <v>88</v>
      </c>
    </row>
    <row r="72" spans="1:9" x14ac:dyDescent="0.2">
      <c r="E72" s="202" t="s">
        <v>88</v>
      </c>
      <c r="F72" s="202" t="s">
        <v>88</v>
      </c>
      <c r="G72" s="48"/>
      <c r="H72" s="48"/>
      <c r="I72" s="48"/>
    </row>
    <row r="73" spans="1:9" x14ac:dyDescent="0.2">
      <c r="F73" s="48"/>
      <c r="G73" s="48"/>
      <c r="H73" s="48"/>
      <c r="I73" s="48"/>
    </row>
    <row r="74" spans="1:9" x14ac:dyDescent="0.2">
      <c r="F74" s="48"/>
      <c r="G74" s="48"/>
      <c r="H74" s="48"/>
      <c r="I74" s="48"/>
    </row>
    <row r="75" spans="1:9" x14ac:dyDescent="0.2">
      <c r="F75" s="201" t="s">
        <v>88</v>
      </c>
      <c r="G75" s="48"/>
      <c r="H75" s="48"/>
      <c r="I75" s="48"/>
    </row>
    <row r="76" spans="1:9" x14ac:dyDescent="0.2">
      <c r="F76" s="48"/>
      <c r="G76" s="48"/>
      <c r="H76" s="48"/>
      <c r="I76" s="48"/>
    </row>
    <row r="77" spans="1:9" x14ac:dyDescent="0.2">
      <c r="F77" s="48"/>
      <c r="G77" s="48"/>
      <c r="H77" s="48"/>
      <c r="I77" s="48"/>
    </row>
    <row r="78" spans="1:9" x14ac:dyDescent="0.2">
      <c r="F78" s="48"/>
      <c r="G78" s="48"/>
      <c r="H78" s="48"/>
      <c r="I78" s="48"/>
    </row>
    <row r="79" spans="1:9" x14ac:dyDescent="0.2">
      <c r="F79" s="48"/>
      <c r="G79" s="48"/>
      <c r="H79" s="48"/>
      <c r="I79" s="48"/>
    </row>
    <row r="80" spans="1:9" x14ac:dyDescent="0.2">
      <c r="F80" s="48"/>
      <c r="G80" s="48"/>
      <c r="H80" s="48"/>
      <c r="I80" s="48"/>
    </row>
    <row r="81" spans="6:9" x14ac:dyDescent="0.2">
      <c r="F81" s="48"/>
      <c r="G81" s="48"/>
      <c r="H81" s="48"/>
      <c r="I81" s="48"/>
    </row>
    <row r="82" spans="6:9" x14ac:dyDescent="0.2">
      <c r="F82" s="48"/>
      <c r="G82" s="48"/>
      <c r="H82" s="48"/>
      <c r="I82" s="48"/>
    </row>
  </sheetData>
  <mergeCells count="62">
    <mergeCell ref="C2:H2"/>
    <mergeCell ref="A69:B69"/>
    <mergeCell ref="A70:B70"/>
    <mergeCell ref="A62:B62"/>
    <mergeCell ref="A63:B63"/>
    <mergeCell ref="A65:B65"/>
    <mergeCell ref="A66:B66"/>
    <mergeCell ref="A67:B67"/>
    <mergeCell ref="A68:B68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6" sqref="G16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293" t="s">
        <v>238</v>
      </c>
      <c r="C1" s="294"/>
      <c r="D1" s="294"/>
      <c r="E1" s="294"/>
      <c r="F1" s="294"/>
      <c r="G1" s="133"/>
    </row>
    <row r="2" spans="1:7" s="49" customFormat="1" ht="15" customHeight="1" x14ac:dyDescent="0.15"/>
    <row r="3" spans="1:7" s="134" customFormat="1" ht="33" customHeight="1" x14ac:dyDescent="0.2">
      <c r="B3" s="291" t="s">
        <v>0</v>
      </c>
      <c r="C3" s="291"/>
      <c r="D3" s="135" t="s">
        <v>193</v>
      </c>
      <c r="E3" s="135" t="s">
        <v>195</v>
      </c>
      <c r="F3" s="136" t="s">
        <v>8</v>
      </c>
    </row>
    <row r="4" spans="1:7" s="134" customFormat="1" ht="18.75" customHeight="1" x14ac:dyDescent="0.2">
      <c r="B4" s="291"/>
      <c r="C4" s="291"/>
      <c r="D4" s="136" t="s">
        <v>202</v>
      </c>
      <c r="E4" s="136" t="s">
        <v>201</v>
      </c>
      <c r="F4" s="136" t="s">
        <v>43</v>
      </c>
    </row>
    <row r="5" spans="1:7" s="134" customFormat="1" ht="11.25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18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18.75" customHeight="1" x14ac:dyDescent="0.2">
      <c r="B7" s="144" t="s">
        <v>17</v>
      </c>
      <c r="C7" s="145" t="s">
        <v>200</v>
      </c>
      <c r="D7" s="146">
        <v>5704956.2699999996</v>
      </c>
      <c r="E7" s="146">
        <v>2000</v>
      </c>
      <c r="F7" s="146">
        <f>D7+E7</f>
        <v>5706956.2699999996</v>
      </c>
    </row>
    <row r="8" spans="1:7" s="134" customFormat="1" ht="18.75" customHeight="1" x14ac:dyDescent="0.2">
      <c r="B8" s="153"/>
      <c r="C8" s="148" t="s">
        <v>199</v>
      </c>
      <c r="D8" s="166">
        <v>5704956.2699999996</v>
      </c>
      <c r="E8" s="166">
        <v>2000</v>
      </c>
      <c r="F8" s="149">
        <f>SUM(F7)</f>
        <v>5706956.2699999996</v>
      </c>
    </row>
    <row r="9" spans="1:7" s="134" customFormat="1" ht="18" customHeight="1" x14ac:dyDescent="0.2"/>
    <row r="10" spans="1:7" s="134" customFormat="1" ht="18.75" hidden="1" customHeight="1" x14ac:dyDescent="0.2">
      <c r="B10" s="150"/>
      <c r="C10" s="150"/>
      <c r="D10" s="151"/>
      <c r="E10" s="151"/>
      <c r="F10" s="151"/>
    </row>
    <row r="11" spans="1:7" s="134" customFormat="1" ht="18.75" customHeight="1" x14ac:dyDescent="0.2">
      <c r="B11" s="292" t="s">
        <v>79</v>
      </c>
      <c r="C11" s="292"/>
      <c r="D11" s="152">
        <f>D8</f>
        <v>5704956.2699999996</v>
      </c>
      <c r="E11" s="152">
        <f>E8</f>
        <v>2000</v>
      </c>
      <c r="F11" s="152">
        <f>F8</f>
        <v>5706956.2699999996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8" sqref="G18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293" t="s">
        <v>253</v>
      </c>
      <c r="C1" s="294"/>
      <c r="D1" s="294"/>
      <c r="E1" s="294"/>
      <c r="F1" s="294"/>
      <c r="G1" s="133"/>
    </row>
    <row r="2" spans="1:7" s="49" customFormat="1" ht="15" customHeight="1" x14ac:dyDescent="0.15"/>
    <row r="3" spans="1:7" s="134" customFormat="1" ht="37.5" customHeight="1" x14ac:dyDescent="0.2">
      <c r="B3" s="291" t="s">
        <v>0</v>
      </c>
      <c r="C3" s="291"/>
      <c r="D3" s="135" t="s">
        <v>193</v>
      </c>
      <c r="E3" s="135" t="s">
        <v>195</v>
      </c>
      <c r="F3" s="136" t="s">
        <v>8</v>
      </c>
    </row>
    <row r="4" spans="1:7" s="134" customFormat="1" ht="18" customHeight="1" x14ac:dyDescent="0.2">
      <c r="B4" s="291"/>
      <c r="C4" s="291"/>
      <c r="D4" s="136" t="s">
        <v>202</v>
      </c>
      <c r="E4" s="136" t="s">
        <v>201</v>
      </c>
      <c r="F4" s="136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.75" customHeight="1" x14ac:dyDescent="0.2">
      <c r="B7" s="144" t="s">
        <v>17</v>
      </c>
      <c r="C7" s="145" t="s">
        <v>200</v>
      </c>
      <c r="D7" s="146">
        <v>5704509.9199999999</v>
      </c>
      <c r="E7" s="146">
        <v>2000</v>
      </c>
      <c r="F7" s="146">
        <f>D7+E7</f>
        <v>5706509.9199999999</v>
      </c>
    </row>
    <row r="8" spans="1:7" s="134" customFormat="1" ht="24.75" customHeight="1" x14ac:dyDescent="0.2">
      <c r="B8" s="153"/>
      <c r="C8" s="148" t="s">
        <v>199</v>
      </c>
      <c r="D8" s="149">
        <f>SUM(D7)</f>
        <v>5704509.9199999999</v>
      </c>
      <c r="E8" s="149">
        <f>SUM(E7)</f>
        <v>2000</v>
      </c>
      <c r="F8" s="149">
        <f>SUM(F7)</f>
        <v>5706509.9199999999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292" t="s">
        <v>79</v>
      </c>
      <c r="C11" s="292"/>
      <c r="D11" s="152">
        <f>D8</f>
        <v>5704509.9199999999</v>
      </c>
      <c r="E11" s="152">
        <f>E8</f>
        <v>2000</v>
      </c>
      <c r="F11" s="152">
        <f>F8</f>
        <v>5706509.9199999999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41"/>
  <sheetViews>
    <sheetView topLeftCell="A16" zoomScaleNormal="100" zoomScaleSheetLayoutView="100" workbookViewId="0">
      <selection activeCell="A16" sqref="A1:IV65536"/>
    </sheetView>
  </sheetViews>
  <sheetFormatPr defaultColWidth="8.85546875" defaultRowHeight="12.75" x14ac:dyDescent="0.2"/>
  <cols>
    <col min="1" max="1" width="0.28515625" style="6" customWidth="1"/>
    <col min="2" max="2" width="6.42578125" style="6" customWidth="1"/>
    <col min="3" max="3" width="47.28515625" style="6" customWidth="1"/>
    <col min="4" max="5" width="22.140625" style="6" customWidth="1"/>
    <col min="6" max="6" width="20.7109375" style="6" customWidth="1"/>
    <col min="7" max="7" width="8.85546875" style="6"/>
    <col min="8" max="8" width="14.7109375" style="6" bestFit="1" customWidth="1"/>
    <col min="9" max="15" width="15.85546875" style="6" customWidth="1"/>
    <col min="16" max="16" width="21.140625" style="6" customWidth="1"/>
    <col min="17" max="16384" width="8.85546875" style="6"/>
  </cols>
  <sheetData>
    <row r="1" spans="1:27" s="214" customFormat="1" ht="25.5" customHeight="1" x14ac:dyDescent="0.2">
      <c r="B1" s="273" t="s">
        <v>166</v>
      </c>
      <c r="C1" s="273"/>
      <c r="D1" s="273"/>
      <c r="E1" s="273"/>
      <c r="F1" s="273"/>
    </row>
    <row r="2" spans="1:27" s="214" customFormat="1" ht="15" customHeight="1" x14ac:dyDescent="0.15"/>
    <row r="3" spans="1:27" s="214" customFormat="1" ht="18" customHeight="1" x14ac:dyDescent="0.2">
      <c r="A3" s="215"/>
      <c r="B3" s="274" t="s">
        <v>167</v>
      </c>
      <c r="C3" s="274"/>
      <c r="D3" s="216" t="s">
        <v>232</v>
      </c>
      <c r="E3" s="216" t="s">
        <v>235</v>
      </c>
      <c r="F3" s="216" t="s">
        <v>250</v>
      </c>
    </row>
    <row r="4" spans="1:27" s="214" customFormat="1" ht="18" customHeight="1" x14ac:dyDescent="0.2">
      <c r="A4" s="215"/>
      <c r="B4" s="274"/>
      <c r="C4" s="274"/>
      <c r="D4" s="216" t="s">
        <v>8</v>
      </c>
      <c r="E4" s="216" t="s">
        <v>8</v>
      </c>
      <c r="F4" s="216" t="s">
        <v>8</v>
      </c>
    </row>
    <row r="5" spans="1:27" s="214" customFormat="1" ht="3" customHeight="1" x14ac:dyDescent="0.2">
      <c r="A5" s="217"/>
      <c r="B5" s="271"/>
      <c r="C5" s="271"/>
      <c r="D5" s="217"/>
      <c r="E5" s="217"/>
      <c r="F5" s="218"/>
    </row>
    <row r="6" spans="1:27" s="214" customFormat="1" ht="7.5" customHeight="1" x14ac:dyDescent="0.15">
      <c r="E6" s="214" t="s">
        <v>88</v>
      </c>
      <c r="F6" s="219"/>
      <c r="H6" s="214" t="s">
        <v>88</v>
      </c>
    </row>
    <row r="7" spans="1:27" s="214" customFormat="1" ht="18" customHeight="1" x14ac:dyDescent="0.2">
      <c r="A7" s="215"/>
      <c r="B7" s="220"/>
      <c r="C7" s="221" t="s">
        <v>168</v>
      </c>
      <c r="D7" s="222">
        <v>0</v>
      </c>
      <c r="E7" s="222">
        <v>0</v>
      </c>
      <c r="F7" s="223">
        <v>0</v>
      </c>
    </row>
    <row r="8" spans="1:27" s="214" customFormat="1" ht="3" customHeight="1" x14ac:dyDescent="0.2">
      <c r="A8" s="217"/>
      <c r="B8" s="271"/>
      <c r="C8" s="271"/>
      <c r="D8" s="217"/>
      <c r="E8" s="217"/>
      <c r="F8" s="218"/>
    </row>
    <row r="9" spans="1:27" s="214" customFormat="1" ht="7.5" customHeight="1" x14ac:dyDescent="0.15">
      <c r="F9" s="219"/>
    </row>
    <row r="10" spans="1:27" s="214" customFormat="1" ht="15" customHeight="1" x14ac:dyDescent="0.2">
      <c r="A10" s="224" t="s">
        <v>169</v>
      </c>
      <c r="B10" s="225" t="s">
        <v>170</v>
      </c>
      <c r="C10" s="226" t="s">
        <v>171</v>
      </c>
      <c r="D10" s="227" t="s">
        <v>172</v>
      </c>
      <c r="E10" s="228" t="s">
        <v>173</v>
      </c>
      <c r="F10" s="225" t="s">
        <v>174</v>
      </c>
    </row>
    <row r="11" spans="1:27" s="214" customFormat="1" ht="15" customHeight="1" x14ac:dyDescent="0.2">
      <c r="A11" s="229" t="s">
        <v>175</v>
      </c>
      <c r="B11" s="230" t="s">
        <v>176</v>
      </c>
      <c r="C11" s="231" t="s">
        <v>1</v>
      </c>
      <c r="D11" s="232">
        <f>244218.57-42388.42</f>
        <v>201830.15000000002</v>
      </c>
      <c r="E11" s="233">
        <f>261990.5-2500</f>
        <v>259490.5</v>
      </c>
      <c r="F11" s="234">
        <v>274437.98</v>
      </c>
      <c r="Z11" s="235" t="s">
        <v>88</v>
      </c>
      <c r="AA11" s="235" t="s">
        <v>88</v>
      </c>
    </row>
    <row r="12" spans="1:27" s="214" customFormat="1" ht="15" customHeight="1" x14ac:dyDescent="0.2">
      <c r="A12" s="217"/>
      <c r="B12" s="230" t="s">
        <v>177</v>
      </c>
      <c r="C12" s="231" t="s">
        <v>2</v>
      </c>
      <c r="D12" s="232">
        <f>1182784.73+156.11+1248.92-2380</f>
        <v>1181809.76</v>
      </c>
      <c r="E12" s="233">
        <v>1185897</v>
      </c>
      <c r="F12" s="234">
        <v>1191897</v>
      </c>
      <c r="H12" s="236" t="s">
        <v>88</v>
      </c>
      <c r="I12" s="236" t="s">
        <v>88</v>
      </c>
      <c r="J12" s="236" t="s">
        <v>88</v>
      </c>
      <c r="K12" s="236" t="s">
        <v>88</v>
      </c>
      <c r="L12" s="236" t="s">
        <v>88</v>
      </c>
      <c r="M12" s="236" t="s">
        <v>88</v>
      </c>
      <c r="N12" s="236" t="s">
        <v>88</v>
      </c>
      <c r="O12" s="236" t="s">
        <v>88</v>
      </c>
      <c r="P12" s="236" t="s">
        <v>88</v>
      </c>
      <c r="Q12" s="236" t="s">
        <v>88</v>
      </c>
      <c r="R12" s="236" t="s">
        <v>88</v>
      </c>
      <c r="S12" s="236" t="s">
        <v>88</v>
      </c>
    </row>
    <row r="13" spans="1:27" s="214" customFormat="1" ht="15" customHeight="1" x14ac:dyDescent="0.2">
      <c r="A13" s="217"/>
      <c r="B13" s="230" t="s">
        <v>178</v>
      </c>
      <c r="C13" s="231" t="s">
        <v>3</v>
      </c>
      <c r="D13" s="232">
        <v>18531195.400000002</v>
      </c>
      <c r="E13" s="233">
        <f>18354843.66+16200+32500-5000+10000</f>
        <v>18408543.66</v>
      </c>
      <c r="F13" s="234">
        <f>18287298.53+30000</f>
        <v>18317298.530000001</v>
      </c>
      <c r="H13" s="236" t="s">
        <v>88</v>
      </c>
      <c r="I13" s="236" t="s">
        <v>88</v>
      </c>
      <c r="J13" s="236" t="s">
        <v>88</v>
      </c>
      <c r="K13" s="236" t="s">
        <v>88</v>
      </c>
      <c r="L13" s="236" t="s">
        <v>88</v>
      </c>
      <c r="M13" s="236" t="s">
        <v>88</v>
      </c>
      <c r="N13" s="236" t="s">
        <v>88</v>
      </c>
      <c r="O13" s="236" t="s">
        <v>88</v>
      </c>
    </row>
    <row r="14" spans="1:27" s="214" customFormat="1" ht="15" customHeight="1" x14ac:dyDescent="0.2">
      <c r="A14" s="217"/>
      <c r="B14" s="230" t="s">
        <v>179</v>
      </c>
      <c r="C14" s="231" t="s">
        <v>4</v>
      </c>
      <c r="D14" s="232">
        <v>4124619.9299999997</v>
      </c>
      <c r="E14" s="233">
        <f>2874245-16200-30000+5000-10000</f>
        <v>2823045</v>
      </c>
      <c r="F14" s="234">
        <f>2835115-30000</f>
        <v>2805115</v>
      </c>
      <c r="H14" s="236" t="s">
        <v>88</v>
      </c>
      <c r="I14" s="236" t="s">
        <v>88</v>
      </c>
      <c r="J14" s="236" t="s">
        <v>88</v>
      </c>
      <c r="K14" s="236" t="s">
        <v>88</v>
      </c>
      <c r="L14" s="236" t="s">
        <v>88</v>
      </c>
      <c r="M14" s="236" t="s">
        <v>88</v>
      </c>
      <c r="N14" s="236" t="s">
        <v>88</v>
      </c>
      <c r="O14" s="236" t="s">
        <v>88</v>
      </c>
      <c r="P14" s="236" t="s">
        <v>88</v>
      </c>
      <c r="Q14" s="236" t="s">
        <v>88</v>
      </c>
      <c r="R14" s="236" t="s">
        <v>88</v>
      </c>
      <c r="S14" s="236" t="s">
        <v>88</v>
      </c>
      <c r="T14" s="236" t="s">
        <v>88</v>
      </c>
    </row>
    <row r="15" spans="1:27" s="214" customFormat="1" ht="15" customHeight="1" x14ac:dyDescent="0.2">
      <c r="A15" s="217"/>
      <c r="B15" s="230" t="s">
        <v>180</v>
      </c>
      <c r="C15" s="231" t="s">
        <v>5</v>
      </c>
      <c r="D15" s="232">
        <v>500</v>
      </c>
      <c r="E15" s="233">
        <v>500</v>
      </c>
      <c r="F15" s="234">
        <v>500</v>
      </c>
      <c r="H15" s="236" t="s">
        <v>88</v>
      </c>
      <c r="I15" s="236" t="s">
        <v>88</v>
      </c>
      <c r="J15" s="236" t="s">
        <v>88</v>
      </c>
    </row>
    <row r="16" spans="1:27" s="214" customFormat="1" ht="15" customHeight="1" x14ac:dyDescent="0.2">
      <c r="A16" s="217"/>
      <c r="B16" s="230" t="s">
        <v>181</v>
      </c>
      <c r="C16" s="231" t="s">
        <v>6</v>
      </c>
      <c r="D16" s="237">
        <f>91800.25+22673.37</f>
        <v>114473.62</v>
      </c>
      <c r="E16" s="233">
        <v>79476.070000000007</v>
      </c>
      <c r="F16" s="234">
        <v>79476.070000000007</v>
      </c>
      <c r="I16" s="236" t="s">
        <v>88</v>
      </c>
      <c r="J16" s="236" t="s">
        <v>88</v>
      </c>
    </row>
    <row r="17" spans="1:19" s="214" customFormat="1" ht="15" customHeight="1" x14ac:dyDescent="0.2">
      <c r="A17" s="217"/>
      <c r="B17" s="230" t="s">
        <v>182</v>
      </c>
      <c r="C17" s="231" t="s">
        <v>7</v>
      </c>
      <c r="D17" s="232">
        <v>3727129.6299999994</v>
      </c>
      <c r="E17" s="233">
        <v>144255.5</v>
      </c>
      <c r="F17" s="234">
        <v>144255.5</v>
      </c>
    </row>
    <row r="18" spans="1:19" s="214" customFormat="1" ht="15" customHeight="1" x14ac:dyDescent="0.2">
      <c r="A18" s="238" t="s">
        <v>16</v>
      </c>
      <c r="B18" s="239" t="s">
        <v>175</v>
      </c>
      <c r="C18" s="240" t="s">
        <v>183</v>
      </c>
      <c r="D18" s="241">
        <f>SUM(D11:D17)</f>
        <v>27881558.490000002</v>
      </c>
      <c r="E18" s="242">
        <f>SUM(E11:E17)</f>
        <v>22901207.73</v>
      </c>
      <c r="F18" s="243">
        <f>SUM(F11:F17)</f>
        <v>22812980.080000002</v>
      </c>
      <c r="P18" s="244" t="s">
        <v>88</v>
      </c>
    </row>
    <row r="19" spans="1:19" s="214" customFormat="1" ht="7.5" customHeight="1" x14ac:dyDescent="0.2">
      <c r="A19" s="245"/>
      <c r="B19" s="245"/>
      <c r="C19" s="245"/>
      <c r="D19" s="245"/>
      <c r="E19" s="245"/>
      <c r="F19" s="246"/>
    </row>
    <row r="20" spans="1:19" s="214" customFormat="1" ht="15" customHeight="1" x14ac:dyDescent="0.2">
      <c r="A20" s="224" t="s">
        <v>169</v>
      </c>
      <c r="B20" s="225" t="s">
        <v>170</v>
      </c>
      <c r="C20" s="225" t="s">
        <v>184</v>
      </c>
      <c r="D20" s="225" t="s">
        <v>172</v>
      </c>
      <c r="E20" s="225" t="s">
        <v>173</v>
      </c>
      <c r="F20" s="225" t="s">
        <v>174</v>
      </c>
      <c r="H20" s="244" t="s">
        <v>88</v>
      </c>
      <c r="I20" s="244" t="s">
        <v>88</v>
      </c>
      <c r="J20" s="244" t="s">
        <v>88</v>
      </c>
      <c r="K20" s="236" t="s">
        <v>88</v>
      </c>
      <c r="L20" s="236" t="s">
        <v>88</v>
      </c>
    </row>
    <row r="21" spans="1:19" s="214" customFormat="1" ht="15" customHeight="1" x14ac:dyDescent="0.2">
      <c r="A21" s="229" t="s">
        <v>185</v>
      </c>
      <c r="B21" s="230" t="s">
        <v>186</v>
      </c>
      <c r="C21" s="247" t="s">
        <v>81</v>
      </c>
      <c r="D21" s="234">
        <f>2073734.12+354973.24+166220.39</f>
        <v>2594927.7500000005</v>
      </c>
      <c r="E21" s="234">
        <v>1203186</v>
      </c>
      <c r="F21" s="234">
        <v>698030</v>
      </c>
      <c r="H21" s="217" t="s">
        <v>88</v>
      </c>
      <c r="I21" s="217" t="s">
        <v>88</v>
      </c>
      <c r="J21" s="217" t="s">
        <v>88</v>
      </c>
      <c r="K21" s="217" t="s">
        <v>88</v>
      </c>
      <c r="L21" s="217" t="s">
        <v>88</v>
      </c>
    </row>
    <row r="22" spans="1:19" s="214" customFormat="1" ht="15" customHeight="1" x14ac:dyDescent="0.2">
      <c r="A22" s="217"/>
      <c r="B22" s="230" t="s">
        <v>187</v>
      </c>
      <c r="C22" s="247" t="s">
        <v>82</v>
      </c>
      <c r="D22" s="234">
        <f>850000-89996</f>
        <v>760004</v>
      </c>
      <c r="E22" s="234">
        <v>0</v>
      </c>
      <c r="F22" s="234">
        <v>0</v>
      </c>
      <c r="H22" s="248">
        <v>201830.15000000002</v>
      </c>
      <c r="I22" s="248">
        <v>1181809.76</v>
      </c>
      <c r="J22" s="248">
        <v>18531195.400000002</v>
      </c>
      <c r="K22" s="248">
        <v>4124619.9299999997</v>
      </c>
      <c r="L22" s="248">
        <v>500</v>
      </c>
      <c r="M22" s="248">
        <v>114473.62</v>
      </c>
      <c r="N22" s="248">
        <v>3727129.6299999994</v>
      </c>
      <c r="O22" s="214" t="s">
        <v>88</v>
      </c>
      <c r="P22" s="214" t="s">
        <v>88</v>
      </c>
      <c r="Q22" s="214" t="s">
        <v>88</v>
      </c>
      <c r="R22" s="214" t="s">
        <v>88</v>
      </c>
      <c r="S22" s="214" t="s">
        <v>88</v>
      </c>
    </row>
    <row r="23" spans="1:19" s="214" customFormat="1" ht="15" customHeight="1" x14ac:dyDescent="0.2">
      <c r="A23" s="217"/>
      <c r="B23" s="230" t="s">
        <v>188</v>
      </c>
      <c r="C23" s="247" t="s">
        <v>83</v>
      </c>
      <c r="D23" s="234">
        <v>1318000</v>
      </c>
      <c r="E23" s="234">
        <v>35000</v>
      </c>
      <c r="F23" s="234">
        <v>35000</v>
      </c>
    </row>
    <row r="24" spans="1:19" s="214" customFormat="1" ht="15" customHeight="1" x14ac:dyDescent="0.2">
      <c r="A24" s="238" t="s">
        <v>80</v>
      </c>
      <c r="B24" s="239" t="s">
        <v>185</v>
      </c>
      <c r="C24" s="249" t="s">
        <v>189</v>
      </c>
      <c r="D24" s="243">
        <f>SUM(D21:D23)</f>
        <v>4672931.75</v>
      </c>
      <c r="E24" s="243">
        <f>SUM(E21:E23)</f>
        <v>1238186</v>
      </c>
      <c r="F24" s="243">
        <f>SUM(F21:F23)</f>
        <v>733030</v>
      </c>
      <c r="H24" s="250">
        <v>259490.5</v>
      </c>
      <c r="I24" s="250">
        <v>1185897</v>
      </c>
      <c r="J24" s="250">
        <v>18408543.66</v>
      </c>
      <c r="K24" s="250">
        <v>2823045</v>
      </c>
      <c r="L24" s="250">
        <v>500</v>
      </c>
      <c r="M24" s="250">
        <v>79476.070000000007</v>
      </c>
      <c r="N24" s="250">
        <v>144255.5</v>
      </c>
    </row>
    <row r="25" spans="1:19" s="214" customFormat="1" ht="15" customHeight="1" x14ac:dyDescent="0.15">
      <c r="A25" s="238"/>
      <c r="B25" s="251"/>
      <c r="C25" s="252"/>
      <c r="D25" s="253"/>
      <c r="E25" s="253"/>
      <c r="F25" s="254"/>
    </row>
    <row r="26" spans="1:19" s="214" customFormat="1" ht="15" customHeight="1" x14ac:dyDescent="0.15">
      <c r="A26" s="238"/>
      <c r="B26" s="225" t="s">
        <v>170</v>
      </c>
      <c r="C26" s="225" t="s">
        <v>217</v>
      </c>
      <c r="D26" s="225" t="s">
        <v>172</v>
      </c>
      <c r="E26" s="225" t="s">
        <v>173</v>
      </c>
      <c r="F26" s="225" t="s">
        <v>174</v>
      </c>
    </row>
    <row r="27" spans="1:19" s="214" customFormat="1" ht="15" customHeight="1" x14ac:dyDescent="0.15">
      <c r="A27" s="238"/>
      <c r="B27" s="230" t="s">
        <v>216</v>
      </c>
      <c r="C27" s="247" t="s">
        <v>223</v>
      </c>
      <c r="D27" s="234">
        <v>0</v>
      </c>
      <c r="E27" s="234">
        <v>0</v>
      </c>
      <c r="F27" s="234">
        <v>0</v>
      </c>
    </row>
    <row r="28" spans="1:19" s="214" customFormat="1" ht="15" customHeight="1" x14ac:dyDescent="0.15">
      <c r="A28" s="238"/>
      <c r="B28" s="230" t="s">
        <v>218</v>
      </c>
      <c r="C28" s="247" t="s">
        <v>224</v>
      </c>
      <c r="D28" s="234">
        <v>0</v>
      </c>
      <c r="E28" s="234">
        <v>0</v>
      </c>
      <c r="F28" s="234">
        <v>0</v>
      </c>
    </row>
    <row r="29" spans="1:19" s="214" customFormat="1" ht="15" customHeight="1" x14ac:dyDescent="0.15">
      <c r="A29" s="238"/>
      <c r="B29" s="230" t="s">
        <v>219</v>
      </c>
      <c r="C29" s="247" t="s">
        <v>225</v>
      </c>
      <c r="D29" s="234">
        <v>0</v>
      </c>
      <c r="E29" s="234">
        <v>0</v>
      </c>
      <c r="F29" s="234">
        <v>0</v>
      </c>
    </row>
    <row r="30" spans="1:19" s="214" customFormat="1" ht="15" customHeight="1" x14ac:dyDescent="0.15">
      <c r="A30" s="238"/>
      <c r="B30" s="230" t="s">
        <v>220</v>
      </c>
      <c r="C30" s="247" t="s">
        <v>226</v>
      </c>
      <c r="D30" s="234">
        <v>0</v>
      </c>
      <c r="E30" s="234">
        <v>0</v>
      </c>
      <c r="F30" s="234">
        <v>0</v>
      </c>
    </row>
    <row r="31" spans="1:19" s="214" customFormat="1" ht="15" customHeight="1" x14ac:dyDescent="0.15">
      <c r="A31" s="238"/>
      <c r="B31" s="239" t="s">
        <v>221</v>
      </c>
      <c r="C31" s="249" t="s">
        <v>222</v>
      </c>
      <c r="D31" s="243">
        <f>SUM(D27:D30)</f>
        <v>0</v>
      </c>
      <c r="E31" s="243">
        <f>SUM(E27:E30)</f>
        <v>0</v>
      </c>
      <c r="F31" s="243">
        <f>SUM(F27:F30)</f>
        <v>0</v>
      </c>
    </row>
    <row r="32" spans="1:19" s="214" customFormat="1" ht="15" customHeight="1" x14ac:dyDescent="0.15">
      <c r="A32" s="238"/>
      <c r="B32" s="251"/>
      <c r="C32" s="252"/>
      <c r="D32" s="253"/>
      <c r="E32" s="253"/>
      <c r="F32" s="254"/>
    </row>
    <row r="33" spans="1:11" s="214" customFormat="1" ht="7.5" customHeight="1" x14ac:dyDescent="0.2">
      <c r="A33" s="245"/>
      <c r="B33" s="245"/>
      <c r="C33" s="245"/>
      <c r="D33" s="245"/>
      <c r="E33" s="245"/>
      <c r="F33" s="246"/>
    </row>
    <row r="34" spans="1:11" s="214" customFormat="1" ht="15" customHeight="1" x14ac:dyDescent="0.2">
      <c r="A34" s="224" t="s">
        <v>169</v>
      </c>
      <c r="B34" s="225" t="s">
        <v>170</v>
      </c>
      <c r="C34" s="225" t="s">
        <v>190</v>
      </c>
      <c r="D34" s="225" t="s">
        <v>172</v>
      </c>
      <c r="E34" s="225" t="s">
        <v>173</v>
      </c>
      <c r="F34" s="225" t="s">
        <v>174</v>
      </c>
      <c r="K34" s="214" t="s">
        <v>88</v>
      </c>
    </row>
    <row r="35" spans="1:11" s="214" customFormat="1" ht="15" customHeight="1" x14ac:dyDescent="0.2">
      <c r="A35" s="229" t="s">
        <v>191</v>
      </c>
      <c r="B35" s="230" t="s">
        <v>192</v>
      </c>
      <c r="C35" s="247" t="s">
        <v>193</v>
      </c>
      <c r="D35" s="234">
        <f>6559942.21+80000-20000</f>
        <v>6619942.21</v>
      </c>
      <c r="E35" s="234">
        <v>5704956.2699999996</v>
      </c>
      <c r="F35" s="234">
        <v>5704509.9199999999</v>
      </c>
      <c r="I35" s="214" t="s">
        <v>88</v>
      </c>
    </row>
    <row r="36" spans="1:11" s="214" customFormat="1" ht="15" customHeight="1" x14ac:dyDescent="0.2">
      <c r="A36" s="217"/>
      <c r="B36" s="230" t="s">
        <v>194</v>
      </c>
      <c r="C36" s="247" t="s">
        <v>195</v>
      </c>
      <c r="D36" s="234">
        <f>22000+70000+20000</f>
        <v>112000</v>
      </c>
      <c r="E36" s="234">
        <v>2000</v>
      </c>
      <c r="F36" s="234">
        <v>2000</v>
      </c>
    </row>
    <row r="37" spans="1:11" s="214" customFormat="1" ht="15" customHeight="1" x14ac:dyDescent="0.15">
      <c r="A37" s="238" t="s">
        <v>43</v>
      </c>
      <c r="B37" s="239" t="s">
        <v>191</v>
      </c>
      <c r="C37" s="249" t="s">
        <v>196</v>
      </c>
      <c r="D37" s="243">
        <f>SUM(D35:D36)</f>
        <v>6731942.21</v>
      </c>
      <c r="E37" s="243">
        <f>SUM(E35:E36)</f>
        <v>5706956.2699999996</v>
      </c>
      <c r="F37" s="243">
        <f>SUM(F35:F36)</f>
        <v>5706509.9199999999</v>
      </c>
    </row>
    <row r="38" spans="1:11" s="214" customFormat="1" ht="7.5" customHeight="1" x14ac:dyDescent="0.2">
      <c r="A38" s="245"/>
      <c r="B38" s="245"/>
      <c r="C38" s="245"/>
      <c r="D38" s="245"/>
      <c r="E38" s="245"/>
      <c r="F38" s="246"/>
    </row>
    <row r="39" spans="1:11" s="214" customFormat="1" ht="18" customHeight="1" x14ac:dyDescent="0.15">
      <c r="A39" s="255"/>
      <c r="B39" s="272" t="s">
        <v>197</v>
      </c>
      <c r="C39" s="272"/>
      <c r="D39" s="223">
        <f>D37+D24+D18+D31</f>
        <v>39286432.450000003</v>
      </c>
      <c r="E39" s="223">
        <f>E37+E24+E18+E31</f>
        <v>29846350</v>
      </c>
      <c r="F39" s="223">
        <f>F37+F24+F18+F31</f>
        <v>29252520</v>
      </c>
    </row>
    <row r="40" spans="1:11" s="214" customFormat="1" ht="7.5" customHeight="1" x14ac:dyDescent="0.15">
      <c r="A40" s="255"/>
      <c r="B40" s="256"/>
      <c r="C40" s="256"/>
      <c r="D40" s="257"/>
      <c r="E40" s="257"/>
      <c r="F40" s="258"/>
    </row>
    <row r="41" spans="1:11" s="214" customFormat="1" ht="18" customHeight="1" x14ac:dyDescent="0.15">
      <c r="A41" s="255"/>
      <c r="B41" s="259"/>
      <c r="C41" s="260" t="s">
        <v>198</v>
      </c>
      <c r="D41" s="261">
        <f>D39+D7</f>
        <v>39286432.450000003</v>
      </c>
      <c r="E41" s="261">
        <f>E39+E7</f>
        <v>29846350</v>
      </c>
      <c r="F41" s="261">
        <f>F39+F7</f>
        <v>29252520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3"/>
  <sheetViews>
    <sheetView zoomScaleNormal="100" zoomScaleSheetLayoutView="100" workbookViewId="0">
      <pane ySplit="2655"/>
      <selection activeCell="D1" sqref="A1:IV65536"/>
      <selection pane="bottomLeft" activeCell="D71" sqref="D71:J71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9" width="15.85546875" style="27" customWidth="1"/>
    <col min="10" max="10" width="20" style="27" customWidth="1"/>
    <col min="11" max="12" width="21.140625" style="27" customWidth="1"/>
    <col min="13" max="13" width="16.5703125" style="27" customWidth="1"/>
    <col min="14" max="14" width="15" style="27" customWidth="1"/>
    <col min="15" max="16384" width="9.140625" style="27"/>
  </cols>
  <sheetData>
    <row r="1" spans="1:14" s="22" customFormat="1" ht="45" customHeight="1" x14ac:dyDescent="0.2">
      <c r="A1" s="277" t="s">
        <v>229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12"/>
      <c r="M1" s="74"/>
    </row>
    <row r="2" spans="1:14" s="22" customFormat="1" ht="60" x14ac:dyDescent="0.2">
      <c r="A2" s="22" t="s">
        <v>88</v>
      </c>
      <c r="B2" s="275" t="s">
        <v>0</v>
      </c>
      <c r="C2" s="275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11" t="s">
        <v>8</v>
      </c>
      <c r="L2" s="156"/>
    </row>
    <row r="3" spans="1:14" s="22" customFormat="1" ht="15" x14ac:dyDescent="0.2">
      <c r="B3" s="275"/>
      <c r="C3" s="275"/>
      <c r="D3" s="211" t="s">
        <v>9</v>
      </c>
      <c r="E3" s="211" t="s">
        <v>10</v>
      </c>
      <c r="F3" s="211" t="s">
        <v>11</v>
      </c>
      <c r="G3" s="211" t="s">
        <v>12</v>
      </c>
      <c r="H3" s="211" t="s">
        <v>13</v>
      </c>
      <c r="I3" s="211" t="s">
        <v>14</v>
      </c>
      <c r="J3" s="211" t="s">
        <v>15</v>
      </c>
      <c r="K3" s="211" t="s">
        <v>16</v>
      </c>
      <c r="L3" s="156"/>
    </row>
    <row r="4" spans="1:14" s="22" customFormat="1" ht="15" x14ac:dyDescent="0.2">
      <c r="A4" s="56"/>
      <c r="B4" s="57"/>
      <c r="C4" s="159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  <c r="L4" s="54"/>
      <c r="N4" s="22" t="s">
        <v>88</v>
      </c>
    </row>
    <row r="5" spans="1:14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5"/>
      <c r="L5" s="157"/>
    </row>
    <row r="6" spans="1:14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f>930551+872.73+156.11+1248.92-595</f>
        <v>932233.76</v>
      </c>
      <c r="F6" s="51">
        <f>13236191.12+157122.69+16238.93-2000-65000+5133.89+41071.13+18648.88+15000-9573.46</f>
        <v>13412833.18</v>
      </c>
      <c r="G6" s="51">
        <f>1857739.01+84163.55+59800+2000-52000+1666.68-15000+9573.46-21379.97</f>
        <v>1926562.73</v>
      </c>
      <c r="H6" s="51" t="s">
        <v>20</v>
      </c>
      <c r="I6" s="51" t="s">
        <v>20</v>
      </c>
      <c r="J6" s="51">
        <f>2000</f>
        <v>2000</v>
      </c>
      <c r="K6" s="51">
        <f>D6+E6+F6+G6+H6+I6+J6</f>
        <v>16273629.67</v>
      </c>
      <c r="L6" s="158"/>
    </row>
    <row r="7" spans="1:14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33060</v>
      </c>
      <c r="G7" s="51" t="s">
        <v>20</v>
      </c>
      <c r="H7" s="51" t="s">
        <v>20</v>
      </c>
      <c r="I7" s="51" t="s">
        <v>20</v>
      </c>
      <c r="J7" s="51" t="s">
        <v>20</v>
      </c>
      <c r="K7" s="51">
        <f t="shared" ref="K7:K13" si="0">D7+E7+F7+G7+H7+I7+J7</f>
        <v>33060</v>
      </c>
      <c r="L7" s="158"/>
    </row>
    <row r="8" spans="1:14" s="22" customFormat="1" ht="28.5" x14ac:dyDescent="0.25">
      <c r="A8" s="64"/>
      <c r="B8" s="62" t="s">
        <v>23</v>
      </c>
      <c r="C8" s="63" t="s">
        <v>24</v>
      </c>
      <c r="D8" s="51">
        <f>243438.57-41988.42</f>
        <v>201450.15000000002</v>
      </c>
      <c r="E8" s="51">
        <v>10200</v>
      </c>
      <c r="F8" s="51">
        <f>2636854.5+3880.3-13510.74</f>
        <v>2627224.0599999996</v>
      </c>
      <c r="G8" s="51" t="s">
        <v>20</v>
      </c>
      <c r="H8" s="51" t="s">
        <v>20</v>
      </c>
      <c r="I8" s="51">
        <v>6000</v>
      </c>
      <c r="J8" s="51">
        <v>71955.5</v>
      </c>
      <c r="K8" s="51">
        <f t="shared" si="0"/>
        <v>2916829.7099999995</v>
      </c>
      <c r="L8" s="158" t="s">
        <v>88</v>
      </c>
      <c r="M8" s="154" t="s">
        <v>88</v>
      </c>
    </row>
    <row r="9" spans="1:14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235000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245500</v>
      </c>
      <c r="L9" s="158"/>
    </row>
    <row r="10" spans="1:14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f>330950+1050</f>
        <v>332000</v>
      </c>
      <c r="G10" s="51" t="s">
        <v>20</v>
      </c>
      <c r="H10" s="51" t="s">
        <v>20</v>
      </c>
      <c r="I10" s="51" t="s">
        <v>20</v>
      </c>
      <c r="J10" s="51">
        <f>12100-12100</f>
        <v>0</v>
      </c>
      <c r="K10" s="51">
        <f t="shared" si="0"/>
        <v>332000</v>
      </c>
      <c r="L10" s="158"/>
    </row>
    <row r="11" spans="1:14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1160744.2+5500+34513.99+12082.82</f>
        <v>1212841.01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1212841.01</v>
      </c>
      <c r="L11" s="158" t="s">
        <v>88</v>
      </c>
      <c r="M11" s="154" t="s">
        <v>88</v>
      </c>
    </row>
    <row r="12" spans="1:14" s="22" customFormat="1" ht="15" x14ac:dyDescent="0.25">
      <c r="A12" s="64"/>
      <c r="B12" s="62" t="s">
        <v>31</v>
      </c>
      <c r="C12" s="63" t="s">
        <v>32</v>
      </c>
      <c r="D12" s="51">
        <f>380+400-400</f>
        <v>380</v>
      </c>
      <c r="E12" s="51">
        <f>4146+1785-1785</f>
        <v>4146</v>
      </c>
      <c r="F12" s="51">
        <f>65800+18204+5400+25000-4000-9119.7</f>
        <v>101284.3</v>
      </c>
      <c r="G12" s="51" t="s">
        <v>20</v>
      </c>
      <c r="H12" s="51" t="s">
        <v>20</v>
      </c>
      <c r="I12" s="51">
        <f>80676.07+6524.18-5400+4000+22673.37</f>
        <v>108473.62</v>
      </c>
      <c r="J12" s="51" t="s">
        <v>20</v>
      </c>
      <c r="K12" s="51">
        <f>D12+E12+F12+G12+H12+I12+J12</f>
        <v>214283.91999999998</v>
      </c>
      <c r="L12" s="158"/>
    </row>
    <row r="13" spans="1:14" s="22" customFormat="1" ht="15" x14ac:dyDescent="0.25">
      <c r="A13" s="64"/>
      <c r="B13" s="62" t="s">
        <v>33</v>
      </c>
      <c r="C13" s="63" t="s">
        <v>34</v>
      </c>
      <c r="D13" s="51">
        <v>0</v>
      </c>
      <c r="E13" s="51">
        <f>230</f>
        <v>230</v>
      </c>
      <c r="F13" s="51">
        <f>7200+10777.54-11432.36</f>
        <v>6545.18</v>
      </c>
      <c r="G13" s="51">
        <f>11010+200</f>
        <v>11210</v>
      </c>
      <c r="H13" s="51">
        <v>500</v>
      </c>
      <c r="I13" s="51" t="s">
        <v>20</v>
      </c>
      <c r="J13" s="51">
        <v>2000</v>
      </c>
      <c r="K13" s="51">
        <f t="shared" si="0"/>
        <v>20485.18</v>
      </c>
      <c r="L13" s="158"/>
    </row>
    <row r="14" spans="1:14" s="22" customFormat="1" ht="28.5" x14ac:dyDescent="0.2">
      <c r="A14" s="20" t="s">
        <v>16</v>
      </c>
      <c r="B14" s="65"/>
      <c r="C14" s="66" t="s">
        <v>35</v>
      </c>
      <c r="D14" s="52">
        <f>SUM(D6:D13)</f>
        <v>201830.15000000002</v>
      </c>
      <c r="E14" s="52">
        <f t="shared" ref="E14:J14" si="1">SUM(E6:E13)</f>
        <v>1181809.76</v>
      </c>
      <c r="F14" s="52">
        <f>SUM(F6:F13)</f>
        <v>17730287.73</v>
      </c>
      <c r="G14" s="52">
        <f t="shared" si="1"/>
        <v>1937772.73</v>
      </c>
      <c r="H14" s="52">
        <f t="shared" si="1"/>
        <v>500</v>
      </c>
      <c r="I14" s="52">
        <f>SUM(I6:I13)</f>
        <v>114473.62</v>
      </c>
      <c r="J14" s="52">
        <f t="shared" si="1"/>
        <v>81955.5</v>
      </c>
      <c r="K14" s="52">
        <f>D14+E14+F14+G14+H14+I14+J14</f>
        <v>21248629.490000002</v>
      </c>
      <c r="L14" s="23"/>
      <c r="M14" s="155">
        <f>K14+'Macro CAPITALE 2023'!G12+'Macro CAPITALE 2023'!L12</f>
        <v>23766557.240000002</v>
      </c>
      <c r="N14" s="22" t="s">
        <v>234</v>
      </c>
    </row>
    <row r="15" spans="1:14" s="22" customFormat="1" x14ac:dyDescent="0.2">
      <c r="C15" s="67"/>
      <c r="N15" s="22" t="s">
        <v>88</v>
      </c>
    </row>
    <row r="16" spans="1:14" s="22" customFormat="1" x14ac:dyDescent="0.2">
      <c r="B16" s="59" t="s">
        <v>243</v>
      </c>
      <c r="C16" s="60" t="s">
        <v>244</v>
      </c>
      <c r="D16" s="207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  <c r="L16" s="157"/>
    </row>
    <row r="17" spans="1:15" s="22" customFormat="1" x14ac:dyDescent="0.2">
      <c r="B17" s="62" t="s">
        <v>41</v>
      </c>
      <c r="C17" s="63" t="s">
        <v>246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  <c r="L17" s="158"/>
    </row>
    <row r="18" spans="1:15" s="22" customFormat="1" ht="28.5" x14ac:dyDescent="0.2">
      <c r="B18" s="65"/>
      <c r="C18" s="66" t="s">
        <v>245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  <c r="L18" s="23"/>
    </row>
    <row r="19" spans="1:15" s="22" customFormat="1" x14ac:dyDescent="0.2">
      <c r="C19" s="67"/>
    </row>
    <row r="20" spans="1:15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  <c r="L20" s="157"/>
    </row>
    <row r="21" spans="1:15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>
        <v>200000</v>
      </c>
      <c r="H21" s="51" t="s">
        <v>20</v>
      </c>
      <c r="I21" s="51" t="s">
        <v>20</v>
      </c>
      <c r="J21" s="51">
        <v>0</v>
      </c>
      <c r="K21" s="51">
        <f>D21+E21+F21+G21+H21+I21+J21</f>
        <v>200000</v>
      </c>
      <c r="L21" s="158"/>
    </row>
    <row r="22" spans="1:15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f>669266.1+16920+50000+33333.79-18000-34445-51067.22+14500</f>
        <v>680507.67</v>
      </c>
      <c r="G22" s="51">
        <f>620500+325000+10000+59875.54+18000+34445-17673.34+500000-14500-8000</f>
        <v>1527647.2</v>
      </c>
      <c r="H22" s="51" t="s">
        <v>20</v>
      </c>
      <c r="I22" s="51" t="s">
        <v>20</v>
      </c>
      <c r="J22" s="51">
        <v>0</v>
      </c>
      <c r="K22" s="51">
        <f>D22+E22+F22+G22+H22+I22+J22</f>
        <v>2208154.87</v>
      </c>
      <c r="L22" s="158"/>
      <c r="O22" s="22" t="s">
        <v>88</v>
      </c>
    </row>
    <row r="23" spans="1:15" s="22" customFormat="1" ht="44.25" customHeight="1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>SUM(F21:F22)</f>
        <v>680507.67</v>
      </c>
      <c r="G23" s="52">
        <f t="shared" si="3"/>
        <v>1727647.2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2408154.87</v>
      </c>
      <c r="L23" s="23"/>
    </row>
    <row r="24" spans="1:15" s="22" customFormat="1" x14ac:dyDescent="0.2">
      <c r="C24" s="67"/>
    </row>
    <row r="25" spans="1:15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  <c r="L25" s="157"/>
    </row>
    <row r="26" spans="1:15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>
        <v>25000</v>
      </c>
      <c r="H26" s="51" t="s">
        <v>20</v>
      </c>
      <c r="I26" s="51" t="s">
        <v>20</v>
      </c>
      <c r="J26" s="51">
        <v>0</v>
      </c>
      <c r="K26" s="51">
        <f>D26+E26+F26+G26+H26+I26+J26</f>
        <v>25000</v>
      </c>
      <c r="L26" s="158"/>
    </row>
    <row r="27" spans="1:15" s="22" customFormat="1" ht="15.75" customHeight="1" x14ac:dyDescent="0.25">
      <c r="A27" s="61"/>
      <c r="B27" s="62" t="s">
        <v>21</v>
      </c>
      <c r="C27" s="63" t="s">
        <v>247</v>
      </c>
      <c r="D27" s="51" t="s">
        <v>20</v>
      </c>
      <c r="E27" s="51" t="s">
        <v>20</v>
      </c>
      <c r="F27" s="51">
        <v>0</v>
      </c>
      <c r="G27" s="51">
        <v>0</v>
      </c>
      <c r="H27" s="51" t="s">
        <v>20</v>
      </c>
      <c r="I27" s="51" t="s">
        <v>20</v>
      </c>
      <c r="J27" s="51">
        <v>0</v>
      </c>
      <c r="K27" s="51">
        <f>D27+E27+F27+G27+H27+I27+J27</f>
        <v>0</v>
      </c>
      <c r="L27" s="158"/>
    </row>
    <row r="28" spans="1:15" s="22" customFormat="1" ht="28.5" x14ac:dyDescent="0.2">
      <c r="A28" s="20" t="s">
        <v>37</v>
      </c>
      <c r="B28" s="65"/>
      <c r="C28" s="66" t="s">
        <v>210</v>
      </c>
      <c r="D28" s="52">
        <f>SUM(D26:D27)</f>
        <v>0</v>
      </c>
      <c r="E28" s="52">
        <f t="shared" ref="E28:J28" si="4">SUM(E26:E27)</f>
        <v>0</v>
      </c>
      <c r="F28" s="52">
        <f t="shared" si="4"/>
        <v>0</v>
      </c>
      <c r="G28" s="52">
        <f t="shared" si="4"/>
        <v>25000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f>D28+E28+F28+G28+H28+I28+J28</f>
        <v>25000</v>
      </c>
      <c r="L28" s="23"/>
    </row>
    <row r="29" spans="1:15" s="22" customFormat="1" x14ac:dyDescent="0.2">
      <c r="C29" s="67"/>
    </row>
    <row r="30" spans="1:15" s="22" customFormat="1" x14ac:dyDescent="0.2">
      <c r="A30" s="56"/>
      <c r="B30" s="59" t="s">
        <v>41</v>
      </c>
      <c r="C30" s="60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5"/>
      <c r="L30" s="157"/>
    </row>
    <row r="31" spans="1:15" s="22" customFormat="1" ht="15" x14ac:dyDescent="0.25">
      <c r="A31" s="61" t="s">
        <v>43</v>
      </c>
      <c r="B31" s="62" t="s">
        <v>17</v>
      </c>
      <c r="C31" s="63" t="s">
        <v>44</v>
      </c>
      <c r="D31" s="51" t="s">
        <v>20</v>
      </c>
      <c r="E31" s="51" t="s">
        <v>20</v>
      </c>
      <c r="F31" s="51" t="s">
        <v>20</v>
      </c>
      <c r="G31" s="51">
        <v>0</v>
      </c>
      <c r="H31" s="51" t="s">
        <v>20</v>
      </c>
      <c r="I31" s="51" t="s">
        <v>20</v>
      </c>
      <c r="J31" s="51" t="s">
        <v>20</v>
      </c>
      <c r="K31" s="51">
        <f>D31+E31+F31+G31+H31+I31+J31</f>
        <v>0</v>
      </c>
      <c r="L31" s="158"/>
    </row>
    <row r="32" spans="1:15" s="22" customFormat="1" ht="15" x14ac:dyDescent="0.2">
      <c r="A32" s="20" t="s">
        <v>43</v>
      </c>
      <c r="B32" s="65"/>
      <c r="C32" s="66" t="s">
        <v>45</v>
      </c>
      <c r="D32" s="52">
        <f>SUM(D31)</f>
        <v>0</v>
      </c>
      <c r="E32" s="52">
        <f t="shared" ref="E32:J32" si="5">SUM(E31)</f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  <c r="I32" s="52">
        <f t="shared" si="5"/>
        <v>0</v>
      </c>
      <c r="J32" s="52">
        <f t="shared" si="5"/>
        <v>0</v>
      </c>
      <c r="K32" s="52">
        <f>D32+E32+F32+G32+H32+I32+J32</f>
        <v>0</v>
      </c>
      <c r="L32" s="23"/>
    </row>
    <row r="33" spans="1:13" s="22" customFormat="1" x14ac:dyDescent="0.2">
      <c r="C33" s="67"/>
    </row>
    <row r="34" spans="1:13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  <c r="L34" s="157"/>
    </row>
    <row r="35" spans="1:13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>
        <v>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  <c r="L35" s="158"/>
    </row>
    <row r="36" spans="1:13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f>3400+10000</f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  <c r="L36" s="158"/>
    </row>
    <row r="37" spans="1:13" s="22" customFormat="1" ht="42.7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  <c r="L37" s="23"/>
    </row>
    <row r="38" spans="1:13" s="22" customFormat="1" x14ac:dyDescent="0.2">
      <c r="C38" s="67"/>
    </row>
    <row r="39" spans="1:13" s="22" customFormat="1" x14ac:dyDescent="0.2">
      <c r="A39" s="56"/>
      <c r="B39" s="59" t="s">
        <v>33</v>
      </c>
      <c r="C39" s="60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5"/>
      <c r="L39" s="157"/>
    </row>
    <row r="40" spans="1:13" s="22" customFormat="1" ht="15" x14ac:dyDescent="0.25">
      <c r="A40" s="61" t="s">
        <v>53</v>
      </c>
      <c r="B40" s="62" t="s">
        <v>21</v>
      </c>
      <c r="C40" s="63" t="s">
        <v>54</v>
      </c>
      <c r="D40" s="51" t="s">
        <v>20</v>
      </c>
      <c r="E40" s="51" t="s">
        <v>20</v>
      </c>
      <c r="F40" s="51" t="s">
        <v>20</v>
      </c>
      <c r="G40" s="51">
        <v>0</v>
      </c>
      <c r="H40" s="51" t="s">
        <v>20</v>
      </c>
      <c r="I40" s="51" t="s">
        <v>20</v>
      </c>
      <c r="J40" s="51" t="s">
        <v>20</v>
      </c>
      <c r="K40" s="51">
        <f>D40+E40+F40+G40+H40+I40+J40</f>
        <v>0</v>
      </c>
      <c r="L40" s="158"/>
    </row>
    <row r="41" spans="1:13" s="22" customFormat="1" ht="15" x14ac:dyDescent="0.2">
      <c r="A41" s="20" t="s">
        <v>53</v>
      </c>
      <c r="B41" s="65"/>
      <c r="C41" s="66" t="s">
        <v>55</v>
      </c>
      <c r="D41" s="52">
        <f>SUM(D40)</f>
        <v>0</v>
      </c>
      <c r="E41" s="52">
        <f t="shared" ref="E41:J41" si="7">SUM(E40)</f>
        <v>0</v>
      </c>
      <c r="F41" s="52">
        <f t="shared" si="7"/>
        <v>0</v>
      </c>
      <c r="G41" s="52">
        <f t="shared" si="7"/>
        <v>0</v>
      </c>
      <c r="H41" s="52">
        <f t="shared" si="7"/>
        <v>0</v>
      </c>
      <c r="I41" s="52">
        <f t="shared" si="7"/>
        <v>0</v>
      </c>
      <c r="J41" s="52">
        <f t="shared" si="7"/>
        <v>0</v>
      </c>
      <c r="K41" s="52">
        <f>D41+E41+F41+G41+H41+I41+J41</f>
        <v>0</v>
      </c>
      <c r="L41" s="23"/>
    </row>
    <row r="42" spans="1:13" s="22" customFormat="1" x14ac:dyDescent="0.2">
      <c r="C42" s="67"/>
    </row>
    <row r="43" spans="1:13" s="22" customFormat="1" ht="28.5" x14ac:dyDescent="0.2">
      <c r="A43" s="56"/>
      <c r="B43" s="59" t="s">
        <v>56</v>
      </c>
      <c r="C43" s="60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5"/>
      <c r="L43" s="157"/>
    </row>
    <row r="44" spans="1:13" s="22" customFormat="1" ht="28.5" x14ac:dyDescent="0.2">
      <c r="A44" s="56"/>
      <c r="B44" s="62" t="s">
        <v>41</v>
      </c>
      <c r="C44" s="63" t="s">
        <v>258</v>
      </c>
      <c r="D44" s="51" t="s">
        <v>20</v>
      </c>
      <c r="E44" s="51" t="s">
        <v>20</v>
      </c>
      <c r="F44" s="51" t="s">
        <v>20</v>
      </c>
      <c r="G44" s="51">
        <v>12200</v>
      </c>
      <c r="H44" s="51" t="s">
        <v>20</v>
      </c>
      <c r="I44" s="51" t="s">
        <v>20</v>
      </c>
      <c r="J44" s="51" t="s">
        <v>20</v>
      </c>
      <c r="K44" s="51">
        <f>D44+E44+F44+G44+H44+I44+J44</f>
        <v>12200</v>
      </c>
      <c r="L44" s="157"/>
    </row>
    <row r="45" spans="1:13" s="22" customFormat="1" ht="31.5" customHeight="1" x14ac:dyDescent="0.2">
      <c r="A45" s="56"/>
      <c r="B45" s="62" t="s">
        <v>29</v>
      </c>
      <c r="C45" s="63" t="s">
        <v>207</v>
      </c>
      <c r="D45" s="51" t="s">
        <v>20</v>
      </c>
      <c r="E45" s="51" t="s">
        <v>20</v>
      </c>
      <c r="F45" s="51" t="s">
        <v>20</v>
      </c>
      <c r="G45" s="51">
        <v>0</v>
      </c>
      <c r="H45" s="51" t="s">
        <v>20</v>
      </c>
      <c r="I45" s="51" t="s">
        <v>20</v>
      </c>
      <c r="J45" s="51" t="s">
        <v>20</v>
      </c>
      <c r="K45" s="51">
        <f>D45+E45+F45+G45+H45+I45+J45</f>
        <v>0</v>
      </c>
      <c r="L45" s="158"/>
    </row>
    <row r="46" spans="1:13" s="22" customFormat="1" ht="28.5" x14ac:dyDescent="0.45">
      <c r="A46" s="61" t="s">
        <v>58</v>
      </c>
      <c r="B46" s="62" t="s">
        <v>31</v>
      </c>
      <c r="C46" s="63" t="s">
        <v>59</v>
      </c>
      <c r="D46" s="51" t="s">
        <v>20</v>
      </c>
      <c r="E46" s="51" t="s">
        <v>20</v>
      </c>
      <c r="F46" s="51" t="s">
        <v>20</v>
      </c>
      <c r="G46" s="51">
        <f>12200-12200</f>
        <v>0</v>
      </c>
      <c r="H46" s="51" t="s">
        <v>20</v>
      </c>
      <c r="I46" s="51" t="s">
        <v>20</v>
      </c>
      <c r="J46" s="51" t="s">
        <v>20</v>
      </c>
      <c r="K46" s="51">
        <f>D46+E46+F46+G46+H46+I46+J46</f>
        <v>0</v>
      </c>
      <c r="L46" s="158"/>
      <c r="M46" s="18" t="s">
        <v>88</v>
      </c>
    </row>
    <row r="47" spans="1:13" s="22" customFormat="1" ht="28.5" x14ac:dyDescent="0.2">
      <c r="A47" s="20" t="s">
        <v>58</v>
      </c>
      <c r="B47" s="65"/>
      <c r="C47" s="66" t="s">
        <v>60</v>
      </c>
      <c r="D47" s="52">
        <f>SUM(D44:D46)</f>
        <v>0</v>
      </c>
      <c r="E47" s="52">
        <f t="shared" ref="E47:K47" si="8">SUM(E44:E46)</f>
        <v>0</v>
      </c>
      <c r="F47" s="52">
        <f t="shared" si="8"/>
        <v>0</v>
      </c>
      <c r="G47" s="52">
        <f t="shared" si="8"/>
        <v>12200</v>
      </c>
      <c r="H47" s="52">
        <f t="shared" si="8"/>
        <v>0</v>
      </c>
      <c r="I47" s="52">
        <f t="shared" si="8"/>
        <v>0</v>
      </c>
      <c r="J47" s="52">
        <f t="shared" si="8"/>
        <v>0</v>
      </c>
      <c r="K47" s="52">
        <f t="shared" si="8"/>
        <v>12200</v>
      </c>
      <c r="L47" s="23"/>
      <c r="M47" s="22" t="s">
        <v>88</v>
      </c>
    </row>
    <row r="48" spans="1:13" s="22" customFormat="1" x14ac:dyDescent="0.2">
      <c r="C48" s="67"/>
    </row>
    <row r="49" spans="1:12" s="22" customFormat="1" ht="28.5" x14ac:dyDescent="0.2">
      <c r="A49" s="56"/>
      <c r="B49" s="59" t="s">
        <v>61</v>
      </c>
      <c r="C49" s="60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5"/>
      <c r="L49" s="157"/>
    </row>
    <row r="50" spans="1:12" s="22" customFormat="1" x14ac:dyDescent="0.2">
      <c r="A50" s="56"/>
      <c r="B50" s="62" t="s">
        <v>17</v>
      </c>
      <c r="C50" s="63" t="s">
        <v>256</v>
      </c>
      <c r="D50" s="51" t="s">
        <v>20</v>
      </c>
      <c r="E50" s="51" t="s">
        <v>20</v>
      </c>
      <c r="F50" s="51">
        <v>65000</v>
      </c>
      <c r="G50" s="51">
        <v>50000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115000</v>
      </c>
      <c r="L50" s="157"/>
    </row>
    <row r="51" spans="1:12" s="22" customFormat="1" ht="28.5" x14ac:dyDescent="0.25">
      <c r="A51" s="61" t="s">
        <v>63</v>
      </c>
      <c r="B51" s="62" t="s">
        <v>21</v>
      </c>
      <c r="C51" s="63" t="s">
        <v>64</v>
      </c>
      <c r="D51" s="51" t="s">
        <v>20</v>
      </c>
      <c r="E51" s="51" t="s">
        <v>20</v>
      </c>
      <c r="F51" s="51" t="s">
        <v>20</v>
      </c>
      <c r="G51" s="51">
        <v>0</v>
      </c>
      <c r="H51" s="51" t="s">
        <v>20</v>
      </c>
      <c r="I51" s="51" t="s">
        <v>20</v>
      </c>
      <c r="J51" s="51" t="s">
        <v>20</v>
      </c>
      <c r="K51" s="51">
        <f>D51+E51+F51+G51+H51+I51+J51</f>
        <v>0</v>
      </c>
      <c r="L51" s="158"/>
    </row>
    <row r="52" spans="1:12" s="22" customFormat="1" ht="15" x14ac:dyDescent="0.25">
      <c r="A52" s="64"/>
      <c r="B52" s="62" t="s">
        <v>23</v>
      </c>
      <c r="C52" s="63" t="s">
        <v>65</v>
      </c>
      <c r="D52" s="51" t="s">
        <v>20</v>
      </c>
      <c r="E52" s="51" t="s">
        <v>20</v>
      </c>
      <c r="F52" s="160">
        <f>31720+8280+2000</f>
        <v>42000</v>
      </c>
      <c r="G52" s="160">
        <f>118280-8280</f>
        <v>110000</v>
      </c>
      <c r="H52" s="51" t="s">
        <v>20</v>
      </c>
      <c r="I52" s="51" t="s">
        <v>20</v>
      </c>
      <c r="J52" s="51" t="s">
        <v>20</v>
      </c>
      <c r="K52" s="51">
        <f>D52+E52+F52+G52+H52+I52+J52</f>
        <v>152000</v>
      </c>
      <c r="L52" s="158"/>
    </row>
    <row r="53" spans="1:12" s="22" customFormat="1" ht="28.5" x14ac:dyDescent="0.2">
      <c r="A53" s="20" t="s">
        <v>63</v>
      </c>
      <c r="B53" s="65"/>
      <c r="C53" s="66" t="s">
        <v>66</v>
      </c>
      <c r="D53" s="52">
        <f>SUM(D50:D52)</f>
        <v>0</v>
      </c>
      <c r="E53" s="52">
        <f t="shared" ref="E53:K53" si="9">SUM(E50:E52)</f>
        <v>0</v>
      </c>
      <c r="F53" s="52">
        <f t="shared" si="9"/>
        <v>107000</v>
      </c>
      <c r="G53" s="52">
        <f t="shared" si="9"/>
        <v>160000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267000</v>
      </c>
      <c r="L53" s="23"/>
    </row>
    <row r="54" spans="1:12" s="22" customFormat="1" ht="15" x14ac:dyDescent="0.2">
      <c r="A54" s="20"/>
      <c r="B54" s="68"/>
      <c r="C54" s="69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9" t="s">
        <v>211</v>
      </c>
      <c r="C55" s="60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5"/>
      <c r="L55" s="157"/>
    </row>
    <row r="56" spans="1:12" s="22" customFormat="1" x14ac:dyDescent="0.2">
      <c r="A56" s="20"/>
      <c r="B56" s="62" t="s">
        <v>21</v>
      </c>
      <c r="C56" s="63" t="s">
        <v>213</v>
      </c>
      <c r="D56" s="51" t="s">
        <v>20</v>
      </c>
      <c r="E56" s="51" t="s">
        <v>20</v>
      </c>
      <c r="F56" s="51" t="s">
        <v>20</v>
      </c>
      <c r="G56" s="51">
        <v>100000</v>
      </c>
      <c r="H56" s="51" t="s">
        <v>20</v>
      </c>
      <c r="I56" s="51" t="s">
        <v>20</v>
      </c>
      <c r="J56" s="51" t="s">
        <v>20</v>
      </c>
      <c r="K56" s="51">
        <f>D56+E56+F56+G56+H56+I56+J56</f>
        <v>100000</v>
      </c>
      <c r="L56" s="158"/>
    </row>
    <row r="57" spans="1:12" s="22" customFormat="1" ht="28.5" x14ac:dyDescent="0.2">
      <c r="A57" s="20"/>
      <c r="B57" s="65"/>
      <c r="C57" s="66" t="s">
        <v>214</v>
      </c>
      <c r="D57" s="52">
        <f t="shared" ref="D57:J57" si="10">SUM(D55:D56)</f>
        <v>0</v>
      </c>
      <c r="E57" s="52">
        <f t="shared" si="10"/>
        <v>0</v>
      </c>
      <c r="F57" s="52">
        <f t="shared" si="10"/>
        <v>0</v>
      </c>
      <c r="G57" s="52">
        <f t="shared" si="10"/>
        <v>100000</v>
      </c>
      <c r="H57" s="52">
        <f t="shared" si="10"/>
        <v>0</v>
      </c>
      <c r="I57" s="52">
        <f t="shared" si="10"/>
        <v>0</v>
      </c>
      <c r="J57" s="52">
        <f t="shared" si="10"/>
        <v>0</v>
      </c>
      <c r="K57" s="52">
        <f>D57+E57+F57+G57+H57+I57+J57</f>
        <v>100000</v>
      </c>
      <c r="L57" s="23"/>
    </row>
    <row r="58" spans="1:12" s="22" customFormat="1" ht="15" x14ac:dyDescent="0.2">
      <c r="A58" s="20"/>
      <c r="B58" s="68"/>
      <c r="C58" s="69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6"/>
      <c r="B59" s="59" t="s">
        <v>67</v>
      </c>
      <c r="C59" s="60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5"/>
      <c r="L59" s="157"/>
    </row>
    <row r="60" spans="1:12" s="22" customFormat="1" ht="18" customHeight="1" x14ac:dyDescent="0.2">
      <c r="A60" s="56"/>
      <c r="B60" s="62" t="s">
        <v>17</v>
      </c>
      <c r="C60" s="63" t="s">
        <v>259</v>
      </c>
      <c r="D60" s="51" t="s">
        <v>20</v>
      </c>
      <c r="E60" s="51" t="s">
        <v>20</v>
      </c>
      <c r="F60" s="51" t="s">
        <v>20</v>
      </c>
      <c r="G60" s="51">
        <v>62000</v>
      </c>
      <c r="H60" s="51" t="s">
        <v>20</v>
      </c>
      <c r="I60" s="51" t="s">
        <v>20</v>
      </c>
      <c r="J60" s="51" t="s">
        <v>20</v>
      </c>
      <c r="K60" s="51">
        <f>D60+E60+F60+G60+H60+I60+J60</f>
        <v>62000</v>
      </c>
      <c r="L60" s="157"/>
    </row>
    <row r="61" spans="1:12" s="22" customFormat="1" ht="42.75" x14ac:dyDescent="0.25">
      <c r="A61" s="61" t="s">
        <v>69</v>
      </c>
      <c r="B61" s="62" t="s">
        <v>21</v>
      </c>
      <c r="C61" s="63" t="s">
        <v>70</v>
      </c>
      <c r="D61" s="51" t="s">
        <v>20</v>
      </c>
      <c r="E61" s="51" t="s">
        <v>20</v>
      </c>
      <c r="F61" s="51" t="s">
        <v>20</v>
      </c>
      <c r="G61" s="51">
        <f>62000-62000</f>
        <v>0</v>
      </c>
      <c r="H61" s="51" t="s">
        <v>20</v>
      </c>
      <c r="I61" s="51" t="s">
        <v>20</v>
      </c>
      <c r="J61" s="51" t="s">
        <v>20</v>
      </c>
      <c r="K61" s="51">
        <f>D61+E61+F61+G61+H61+I61+J61</f>
        <v>0</v>
      </c>
      <c r="L61" s="158"/>
    </row>
    <row r="62" spans="1:12" s="22" customFormat="1" ht="28.5" x14ac:dyDescent="0.2">
      <c r="A62" s="20" t="s">
        <v>69</v>
      </c>
      <c r="B62" s="65"/>
      <c r="C62" s="66" t="s">
        <v>71</v>
      </c>
      <c r="D62" s="52">
        <f>SUM(D60:D61)</f>
        <v>0</v>
      </c>
      <c r="E62" s="52">
        <f t="shared" ref="E62:K62" si="11">SUM(E60:E61)</f>
        <v>0</v>
      </c>
      <c r="F62" s="52">
        <f t="shared" si="11"/>
        <v>0</v>
      </c>
      <c r="G62" s="52">
        <f t="shared" si="11"/>
        <v>62000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2">
        <f t="shared" si="11"/>
        <v>62000</v>
      </c>
      <c r="L62" s="23"/>
    </row>
    <row r="63" spans="1:12" s="22" customFormat="1" x14ac:dyDescent="0.2">
      <c r="C63" s="67"/>
    </row>
    <row r="64" spans="1:12" s="22" customFormat="1" x14ac:dyDescent="0.2">
      <c r="A64" s="56"/>
      <c r="B64" s="59" t="s">
        <v>72</v>
      </c>
      <c r="C64" s="60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5"/>
      <c r="L64" s="157"/>
    </row>
    <row r="65" spans="1:14" s="22" customFormat="1" ht="15" x14ac:dyDescent="0.25">
      <c r="A65" s="61" t="s">
        <v>74</v>
      </c>
      <c r="B65" s="62" t="s">
        <v>17</v>
      </c>
      <c r="C65" s="63" t="s">
        <v>75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v>80000</v>
      </c>
      <c r="K65" s="51">
        <f>D65+E65+F65+G65+H65+I65+J65</f>
        <v>80000</v>
      </c>
      <c r="L65" s="158"/>
      <c r="M65" s="22" t="s">
        <v>88</v>
      </c>
      <c r="N65" s="154" t="s">
        <v>88</v>
      </c>
    </row>
    <row r="66" spans="1:14" s="22" customFormat="1" ht="15" x14ac:dyDescent="0.25">
      <c r="A66" s="64"/>
      <c r="B66" s="62" t="s">
        <v>21</v>
      </c>
      <c r="C66" s="63" t="s">
        <v>76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  <c r="L66" s="158"/>
    </row>
    <row r="67" spans="1:14" s="22" customFormat="1" ht="15" x14ac:dyDescent="0.25">
      <c r="A67" s="64"/>
      <c r="B67" s="62" t="s">
        <v>23</v>
      </c>
      <c r="C67" s="63" t="s">
        <v>77</v>
      </c>
      <c r="D67" s="51" t="s">
        <v>20</v>
      </c>
      <c r="E67" s="51" t="s">
        <v>20</v>
      </c>
      <c r="F67" s="51" t="s">
        <v>20</v>
      </c>
      <c r="G67" s="51" t="s">
        <v>20</v>
      </c>
      <c r="H67" s="51" t="s">
        <v>20</v>
      </c>
      <c r="I67" s="51" t="s">
        <v>20</v>
      </c>
      <c r="J67" s="51">
        <f>3815174.13-650000+1868986.59-500000+29379.97-998366.56</f>
        <v>3565174.1299999994</v>
      </c>
      <c r="K67" s="51">
        <f>D67+E67+F67+G67+H67+I67+J67</f>
        <v>3565174.1299999994</v>
      </c>
      <c r="L67" s="158"/>
      <c r="M67" s="22" t="s">
        <v>88</v>
      </c>
      <c r="N67" s="154" t="s">
        <v>88</v>
      </c>
    </row>
    <row r="68" spans="1:14" s="22" customFormat="1" ht="28.5" x14ac:dyDescent="0.2">
      <c r="A68" s="20" t="s">
        <v>74</v>
      </c>
      <c r="B68" s="65"/>
      <c r="C68" s="66" t="s">
        <v>78</v>
      </c>
      <c r="D68" s="52">
        <f t="shared" ref="D68:I68" si="12">SUM(D65:D67)</f>
        <v>0</v>
      </c>
      <c r="E68" s="52">
        <f t="shared" si="12"/>
        <v>0</v>
      </c>
      <c r="F68" s="52">
        <f t="shared" si="12"/>
        <v>0</v>
      </c>
      <c r="G68" s="52">
        <f t="shared" si="12"/>
        <v>0</v>
      </c>
      <c r="H68" s="52">
        <f t="shared" si="12"/>
        <v>0</v>
      </c>
      <c r="I68" s="52">
        <f t="shared" si="12"/>
        <v>0</v>
      </c>
      <c r="J68" s="52">
        <f>SUM(J65:J67)</f>
        <v>3645174.1299999994</v>
      </c>
      <c r="K68" s="52">
        <f>D68+E68+F68+G68+H68+I68+J68</f>
        <v>3645174.1299999994</v>
      </c>
      <c r="L68" s="23"/>
    </row>
    <row r="69" spans="1:14" s="22" customFormat="1" x14ac:dyDescent="0.2">
      <c r="C69" s="67"/>
    </row>
    <row r="70" spans="1:14" s="22" customFormat="1" ht="15" x14ac:dyDescent="0.2">
      <c r="A70" s="70"/>
      <c r="B70" s="71"/>
      <c r="C70" s="72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70"/>
      <c r="B71" s="276" t="s">
        <v>79</v>
      </c>
      <c r="C71" s="276"/>
      <c r="D71" s="53">
        <f t="shared" ref="D71:I71" si="13">D68+D62+D53+D47+D41+D37+D32+D23+D14+D28+D57+D18</f>
        <v>201830.15000000002</v>
      </c>
      <c r="E71" s="53">
        <f t="shared" si="13"/>
        <v>1181809.76</v>
      </c>
      <c r="F71" s="53">
        <f t="shared" si="13"/>
        <v>18531195.400000002</v>
      </c>
      <c r="G71" s="53">
        <f t="shared" si="13"/>
        <v>4124619.9299999997</v>
      </c>
      <c r="H71" s="53">
        <f t="shared" si="13"/>
        <v>500</v>
      </c>
      <c r="I71" s="53">
        <f t="shared" si="13"/>
        <v>114473.62</v>
      </c>
      <c r="J71" s="53">
        <f>J68+J62+J53+J47+J41+J37+J32+J23+J14+J28+J57+J18</f>
        <v>3727129.6299999994</v>
      </c>
      <c r="K71" s="53">
        <f>K68+K62+K53+K47+K41+K37+K32+K23+K14+K28+K57+K18</f>
        <v>27881558.490000002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2"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4" x14ac:dyDescent="0.2"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4" x14ac:dyDescent="0.2">
      <c r="D76" s="25"/>
      <c r="E76" s="25"/>
      <c r="F76" s="25"/>
      <c r="G76" s="25"/>
      <c r="H76" s="25"/>
      <c r="I76" s="25"/>
      <c r="J76" s="25"/>
      <c r="K76" s="25"/>
      <c r="L76" s="26"/>
      <c r="M76" s="25"/>
    </row>
    <row r="77" spans="1:14" x14ac:dyDescent="0.2">
      <c r="D77" s="25"/>
      <c r="E77" s="25" t="s">
        <v>88</v>
      </c>
      <c r="F77" s="25" t="s">
        <v>88</v>
      </c>
      <c r="G77" s="25"/>
      <c r="H77" s="25"/>
      <c r="I77" s="25"/>
      <c r="J77" s="25"/>
      <c r="K77" s="25"/>
      <c r="L77" s="25"/>
      <c r="M77" s="25"/>
    </row>
    <row r="78" spans="1:14" x14ac:dyDescent="0.2">
      <c r="D78" s="25"/>
      <c r="E78" s="25"/>
      <c r="F78" s="25"/>
      <c r="G78" s="25"/>
      <c r="H78" s="25"/>
      <c r="I78" s="25"/>
      <c r="J78" s="25"/>
      <c r="K78" s="25"/>
      <c r="L78" s="25"/>
    </row>
    <row r="79" spans="1:14" x14ac:dyDescent="0.2">
      <c r="K79" s="73" t="s">
        <v>88</v>
      </c>
    </row>
    <row r="80" spans="1:14" x14ac:dyDescent="0.2">
      <c r="K80" s="73" t="s">
        <v>88</v>
      </c>
    </row>
    <row r="81" spans="6:11" x14ac:dyDescent="0.2">
      <c r="K81" s="27" t="s">
        <v>88</v>
      </c>
    </row>
    <row r="83" spans="6:11" x14ac:dyDescent="0.2">
      <c r="F83" s="27" t="s">
        <v>88</v>
      </c>
    </row>
  </sheetData>
  <mergeCells count="3">
    <mergeCell ref="B2:C3"/>
    <mergeCell ref="B71:C71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7" fitToWidth="2" fitToHeight="2" orientation="landscape" r:id="rId1"/>
  <headerFooter alignWithMargins="0"/>
  <rowBreaks count="1" manualBreakCount="1">
    <brk id="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79"/>
  <sheetViews>
    <sheetView zoomScale="70" zoomScaleNormal="70" zoomScaleSheetLayoutView="90" workbookViewId="0">
      <pane ySplit="3" topLeftCell="A4" activePane="bottomLeft" state="frozen"/>
      <selection sqref="A1:IV65536"/>
      <selection pane="bottomLeft" activeCell="E18" sqref="E18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2" width="30.28515625" style="27" customWidth="1"/>
    <col min="13" max="16384" width="9.140625" style="27"/>
  </cols>
  <sheetData>
    <row r="1" spans="1:12" s="22" customFormat="1" ht="45" customHeight="1" x14ac:dyDescent="0.2">
      <c r="A1" s="277" t="s">
        <v>236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74"/>
    </row>
    <row r="2" spans="1:12" s="22" customFormat="1" ht="60" x14ac:dyDescent="0.2">
      <c r="B2" s="275" t="s">
        <v>0</v>
      </c>
      <c r="C2" s="275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11" t="s">
        <v>8</v>
      </c>
    </row>
    <row r="3" spans="1:12" s="22" customFormat="1" ht="15" x14ac:dyDescent="0.2">
      <c r="B3" s="275"/>
      <c r="C3" s="275"/>
      <c r="D3" s="211" t="s">
        <v>9</v>
      </c>
      <c r="E3" s="211" t="s">
        <v>10</v>
      </c>
      <c r="F3" s="211" t="s">
        <v>11</v>
      </c>
      <c r="G3" s="211" t="s">
        <v>12</v>
      </c>
      <c r="H3" s="211" t="s">
        <v>13</v>
      </c>
      <c r="I3" s="211" t="s">
        <v>14</v>
      </c>
      <c r="J3" s="211" t="s">
        <v>15</v>
      </c>
      <c r="K3" s="211" t="s">
        <v>16</v>
      </c>
    </row>
    <row r="4" spans="1:12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2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61" t="s">
        <v>15</v>
      </c>
      <c r="K5" s="164"/>
    </row>
    <row r="6" spans="1:12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936551</v>
      </c>
      <c r="F6" s="51">
        <f>13343834.96-65000+30000</f>
        <v>13308834.960000001</v>
      </c>
      <c r="G6" s="51">
        <f>1850105-30000-10000</f>
        <v>1810105</v>
      </c>
      <c r="H6" s="51" t="s">
        <v>20</v>
      </c>
      <c r="I6" s="51" t="s">
        <v>20</v>
      </c>
      <c r="J6" s="162">
        <v>2000</v>
      </c>
      <c r="K6" s="165">
        <f>D6+E6+F6+G6+H6+I6+J6</f>
        <v>16057490.960000001</v>
      </c>
    </row>
    <row r="7" spans="1:12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33060</v>
      </c>
      <c r="G7" s="51" t="s">
        <v>20</v>
      </c>
      <c r="H7" s="51" t="s">
        <v>20</v>
      </c>
      <c r="I7" s="51" t="s">
        <v>20</v>
      </c>
      <c r="J7" s="162" t="s">
        <v>20</v>
      </c>
      <c r="K7" s="165">
        <f t="shared" ref="K7:K13" si="0">D7+E7+F7+G7+H7+I7+J7</f>
        <v>33060</v>
      </c>
    </row>
    <row r="8" spans="1:12" s="22" customFormat="1" ht="28.5" x14ac:dyDescent="0.25">
      <c r="A8" s="64"/>
      <c r="B8" s="62" t="s">
        <v>23</v>
      </c>
      <c r="C8" s="63" t="s">
        <v>24</v>
      </c>
      <c r="D8" s="51">
        <f>261610.5-2500</f>
        <v>259110.5</v>
      </c>
      <c r="E8" s="51">
        <v>10200</v>
      </c>
      <c r="F8" s="51">
        <f>2618503.16+2500</f>
        <v>2621003.16</v>
      </c>
      <c r="G8" s="51" t="s">
        <v>20</v>
      </c>
      <c r="H8" s="51" t="s">
        <v>20</v>
      </c>
      <c r="I8" s="51">
        <v>6000</v>
      </c>
      <c r="J8" s="162">
        <v>71955.5</v>
      </c>
      <c r="K8" s="165">
        <f t="shared" si="0"/>
        <v>2968269.16</v>
      </c>
    </row>
    <row r="9" spans="1:12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235000</v>
      </c>
      <c r="F9" s="51">
        <v>4500</v>
      </c>
      <c r="G9" s="51" t="s">
        <v>20</v>
      </c>
      <c r="H9" s="51" t="s">
        <v>20</v>
      </c>
      <c r="I9" s="51" t="s">
        <v>20</v>
      </c>
      <c r="J9" s="162">
        <v>6000</v>
      </c>
      <c r="K9" s="165">
        <f t="shared" si="0"/>
        <v>245500</v>
      </c>
    </row>
    <row r="10" spans="1:12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327650</v>
      </c>
      <c r="G10" s="51" t="s">
        <v>20</v>
      </c>
      <c r="H10" s="51" t="s">
        <v>20</v>
      </c>
      <c r="I10" s="51" t="s">
        <v>20</v>
      </c>
      <c r="J10" s="162">
        <v>0</v>
      </c>
      <c r="K10" s="165">
        <f t="shared" si="0"/>
        <v>327650</v>
      </c>
    </row>
    <row r="11" spans="1:12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1159744.2</v>
      </c>
      <c r="G11" s="51" t="s">
        <v>20</v>
      </c>
      <c r="H11" s="51" t="s">
        <v>20</v>
      </c>
      <c r="I11" s="51" t="s">
        <v>20</v>
      </c>
      <c r="J11" s="162">
        <v>0</v>
      </c>
      <c r="K11" s="165">
        <f t="shared" si="0"/>
        <v>1159744.2</v>
      </c>
    </row>
    <row r="12" spans="1:12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4146</v>
      </c>
      <c r="F12" s="51">
        <f>70800+7200</f>
        <v>78000</v>
      </c>
      <c r="G12" s="51" t="s">
        <v>20</v>
      </c>
      <c r="H12" s="51" t="s">
        <v>20</v>
      </c>
      <c r="I12" s="51">
        <f>80676.07-7200</f>
        <v>73476.070000000007</v>
      </c>
      <c r="J12" s="162" t="s">
        <v>20</v>
      </c>
      <c r="K12" s="165">
        <f t="shared" si="0"/>
        <v>156002.07</v>
      </c>
    </row>
    <row r="13" spans="1:12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5000</v>
      </c>
      <c r="G13" s="51">
        <v>11040</v>
      </c>
      <c r="H13" s="51">
        <v>500</v>
      </c>
      <c r="I13" s="51" t="s">
        <v>20</v>
      </c>
      <c r="J13" s="162">
        <v>2000</v>
      </c>
      <c r="K13" s="165">
        <f t="shared" si="0"/>
        <v>18540</v>
      </c>
    </row>
    <row r="14" spans="1:12" s="22" customFormat="1" ht="28.5" x14ac:dyDescent="0.2">
      <c r="A14" s="20" t="s">
        <v>16</v>
      </c>
      <c r="B14" s="65"/>
      <c r="C14" s="66" t="s">
        <v>35</v>
      </c>
      <c r="D14" s="52">
        <f>SUM(D6:D13)</f>
        <v>259490.5</v>
      </c>
      <c r="E14" s="52">
        <f t="shared" ref="E14:J14" si="1">SUM(E6:E13)</f>
        <v>1185897</v>
      </c>
      <c r="F14" s="52">
        <f>SUM(F6:F13)</f>
        <v>17537792.32</v>
      </c>
      <c r="G14" s="52">
        <f t="shared" si="1"/>
        <v>1821145</v>
      </c>
      <c r="H14" s="52">
        <f t="shared" si="1"/>
        <v>500</v>
      </c>
      <c r="I14" s="52">
        <f t="shared" si="1"/>
        <v>79476.070000000007</v>
      </c>
      <c r="J14" s="163">
        <f t="shared" si="1"/>
        <v>81955.5</v>
      </c>
      <c r="K14" s="203">
        <f>D14+E14+F14+G14+H14+I14+J14</f>
        <v>20966256.390000001</v>
      </c>
    </row>
    <row r="15" spans="1:12" s="22" customFormat="1" x14ac:dyDescent="0.2">
      <c r="C15" s="67"/>
    </row>
    <row r="16" spans="1:12" s="22" customFormat="1" x14ac:dyDescent="0.2">
      <c r="B16" s="59" t="s">
        <v>243</v>
      </c>
      <c r="C16" s="60" t="s">
        <v>244</v>
      </c>
      <c r="D16" s="207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246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245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f>752651.34-5000+10000</f>
        <v>757651.34</v>
      </c>
      <c r="G22" s="51">
        <f>608500+4000+5000</f>
        <v>617500</v>
      </c>
      <c r="H22" s="51" t="s">
        <v>20</v>
      </c>
      <c r="I22" s="51" t="s">
        <v>20</v>
      </c>
      <c r="J22" s="51">
        <v>0</v>
      </c>
      <c r="K22" s="51">
        <f>D22+E22+F22+G22+H22+I22+J22</f>
        <v>1375151.3399999999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757651.34</v>
      </c>
      <c r="G23" s="52">
        <f t="shared" si="3"/>
        <v>617500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1375151.3399999999</v>
      </c>
    </row>
    <row r="24" spans="1:11" s="22" customFormat="1" ht="15" x14ac:dyDescent="0.2">
      <c r="A24" s="20"/>
      <c r="B24" s="68"/>
      <c r="C24" s="69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</row>
    <row r="26" spans="1:11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 t="s">
        <v>20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</row>
    <row r="27" spans="1:11" s="22" customFormat="1" ht="28.5" x14ac:dyDescent="0.2">
      <c r="A27" s="20" t="s">
        <v>37</v>
      </c>
      <c r="B27" s="65"/>
      <c r="C27" s="66" t="s">
        <v>210</v>
      </c>
      <c r="D27" s="52">
        <f>SUM(D26)</f>
        <v>0</v>
      </c>
      <c r="E27" s="52">
        <f t="shared" ref="E27:K27" si="4">SUM(E26)</f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</row>
    <row r="28" spans="1:11" s="22" customFormat="1" ht="15" x14ac:dyDescent="0.2">
      <c r="A28" s="20"/>
      <c r="B28" s="68"/>
      <c r="C28" s="69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6"/>
      <c r="B29" s="59" t="s">
        <v>41</v>
      </c>
      <c r="C29" s="60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5"/>
    </row>
    <row r="30" spans="1:11" s="22" customFormat="1" ht="15" x14ac:dyDescent="0.25">
      <c r="A30" s="61" t="s">
        <v>43</v>
      </c>
      <c r="B30" s="62" t="s">
        <v>17</v>
      </c>
      <c r="C30" s="63" t="s">
        <v>44</v>
      </c>
      <c r="D30" s="51" t="s">
        <v>20</v>
      </c>
      <c r="E30" s="51" t="s">
        <v>20</v>
      </c>
      <c r="F30" s="51" t="s">
        <v>20</v>
      </c>
      <c r="G30" s="51">
        <v>0</v>
      </c>
      <c r="H30" s="51" t="s">
        <v>20</v>
      </c>
      <c r="I30" s="51" t="s">
        <v>20</v>
      </c>
      <c r="J30" s="51" t="s">
        <v>20</v>
      </c>
      <c r="K30" s="51">
        <f>D30+E30+F30+G30+H30+I30+J30</f>
        <v>0</v>
      </c>
    </row>
    <row r="31" spans="1:11" s="22" customFormat="1" ht="15" x14ac:dyDescent="0.2">
      <c r="A31" s="20" t="s">
        <v>43</v>
      </c>
      <c r="B31" s="65"/>
      <c r="C31" s="66" t="s">
        <v>45</v>
      </c>
      <c r="D31" s="52">
        <f>SUM(D30)</f>
        <v>0</v>
      </c>
      <c r="E31" s="52">
        <f t="shared" ref="E31:J31" si="5">SUM(E30)</f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  <c r="I31" s="52">
        <f t="shared" si="5"/>
        <v>0</v>
      </c>
      <c r="J31" s="52">
        <f t="shared" si="5"/>
        <v>0</v>
      </c>
      <c r="K31" s="52">
        <f>D31+E31+F31+G31+H31+I31+J31</f>
        <v>0</v>
      </c>
    </row>
    <row r="32" spans="1:11" s="22" customFormat="1" x14ac:dyDescent="0.2">
      <c r="C32" s="67"/>
    </row>
    <row r="33" spans="1:11" s="22" customFormat="1" x14ac:dyDescent="0.2">
      <c r="A33" s="56"/>
      <c r="B33" s="57"/>
      <c r="C33" s="58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4"/>
    </row>
    <row r="34" spans="1:11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</row>
    <row r="35" spans="1:11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 t="s">
        <v>20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</row>
    <row r="36" spans="1:11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</row>
    <row r="37" spans="1:11" s="22" customFormat="1" ht="41.2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</row>
    <row r="38" spans="1:11" s="22" customFormat="1" x14ac:dyDescent="0.2">
      <c r="C38" s="67"/>
    </row>
    <row r="39" spans="1:11" s="22" customFormat="1" x14ac:dyDescent="0.2">
      <c r="A39" s="56"/>
      <c r="B39" s="57"/>
      <c r="C39" s="58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4"/>
    </row>
    <row r="40" spans="1:11" s="22" customFormat="1" x14ac:dyDescent="0.2">
      <c r="A40" s="56"/>
      <c r="B40" s="59" t="s">
        <v>33</v>
      </c>
      <c r="C40" s="60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5"/>
    </row>
    <row r="41" spans="1:11" s="22" customFormat="1" ht="15" x14ac:dyDescent="0.25">
      <c r="A41" s="61" t="s">
        <v>53</v>
      </c>
      <c r="B41" s="62" t="s">
        <v>21</v>
      </c>
      <c r="C41" s="63" t="s">
        <v>54</v>
      </c>
      <c r="D41" s="51" t="s">
        <v>20</v>
      </c>
      <c r="E41" s="51" t="s">
        <v>20</v>
      </c>
      <c r="F41" s="51" t="s">
        <v>20</v>
      </c>
      <c r="G41" s="51">
        <v>0</v>
      </c>
      <c r="H41" s="51" t="s">
        <v>20</v>
      </c>
      <c r="I41" s="51" t="s">
        <v>20</v>
      </c>
      <c r="J41" s="51" t="s">
        <v>20</v>
      </c>
      <c r="K41" s="51">
        <f>D41+E41+F41+G41+H41+I41+J41</f>
        <v>0</v>
      </c>
    </row>
    <row r="42" spans="1:11" s="22" customFormat="1" ht="15" x14ac:dyDescent="0.2">
      <c r="A42" s="20" t="s">
        <v>53</v>
      </c>
      <c r="B42" s="65"/>
      <c r="C42" s="66" t="s">
        <v>55</v>
      </c>
      <c r="D42" s="52">
        <f>SUM(D41)</f>
        <v>0</v>
      </c>
      <c r="E42" s="52">
        <f t="shared" ref="E42:J42" si="7">SUM(E41)</f>
        <v>0</v>
      </c>
      <c r="F42" s="52">
        <f t="shared" si="7"/>
        <v>0</v>
      </c>
      <c r="G42" s="52">
        <f t="shared" si="7"/>
        <v>0</v>
      </c>
      <c r="H42" s="52">
        <f t="shared" si="7"/>
        <v>0</v>
      </c>
      <c r="I42" s="52">
        <f t="shared" si="7"/>
        <v>0</v>
      </c>
      <c r="J42" s="52">
        <f t="shared" si="7"/>
        <v>0</v>
      </c>
      <c r="K42" s="52">
        <f>D42+E42+F42+G42+H42+I42+J42</f>
        <v>0</v>
      </c>
    </row>
    <row r="43" spans="1:11" s="22" customFormat="1" x14ac:dyDescent="0.2">
      <c r="C43" s="67"/>
    </row>
    <row r="44" spans="1:11" s="22" customFormat="1" x14ac:dyDescent="0.2">
      <c r="A44" s="56"/>
      <c r="B44" s="57"/>
      <c r="C44" s="58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4"/>
    </row>
    <row r="45" spans="1:11" s="22" customFormat="1" ht="28.5" x14ac:dyDescent="0.2">
      <c r="A45" s="56"/>
      <c r="B45" s="59" t="s">
        <v>56</v>
      </c>
      <c r="C45" s="60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5"/>
    </row>
    <row r="46" spans="1:11" s="22" customFormat="1" ht="28.5" x14ac:dyDescent="0.2">
      <c r="A46" s="56"/>
      <c r="B46" s="62" t="s">
        <v>41</v>
      </c>
      <c r="C46" s="63" t="s">
        <v>258</v>
      </c>
      <c r="D46" s="51" t="s">
        <v>20</v>
      </c>
      <c r="E46" s="51" t="s">
        <v>20</v>
      </c>
      <c r="F46" s="51" t="s">
        <v>20</v>
      </c>
      <c r="G46" s="51">
        <v>11100</v>
      </c>
      <c r="H46" s="51" t="s">
        <v>20</v>
      </c>
      <c r="I46" s="51" t="s">
        <v>20</v>
      </c>
      <c r="J46" s="51" t="s">
        <v>20</v>
      </c>
      <c r="K46" s="51">
        <f>D46+E46+F46+G46+H46+I46+J46</f>
        <v>11100</v>
      </c>
    </row>
    <row r="47" spans="1:11" s="22" customFormat="1" ht="28.5" x14ac:dyDescent="0.25">
      <c r="A47" s="61" t="s">
        <v>58</v>
      </c>
      <c r="B47" s="62" t="s">
        <v>31</v>
      </c>
      <c r="C47" s="63" t="s">
        <v>59</v>
      </c>
      <c r="D47" s="51" t="s">
        <v>20</v>
      </c>
      <c r="E47" s="51" t="s">
        <v>20</v>
      </c>
      <c r="F47" s="51" t="s">
        <v>20</v>
      </c>
      <c r="G47" s="51">
        <f>11100-11100</f>
        <v>0</v>
      </c>
      <c r="H47" s="51" t="s">
        <v>20</v>
      </c>
      <c r="I47" s="51" t="s">
        <v>20</v>
      </c>
      <c r="J47" s="51" t="s">
        <v>20</v>
      </c>
      <c r="K47" s="51">
        <f>D47+E47+F47+G47+H47+I47+J47</f>
        <v>0</v>
      </c>
    </row>
    <row r="48" spans="1:11" s="22" customFormat="1" ht="28.5" x14ac:dyDescent="0.2">
      <c r="A48" s="20" t="s">
        <v>58</v>
      </c>
      <c r="B48" s="65"/>
      <c r="C48" s="66" t="s">
        <v>60</v>
      </c>
      <c r="D48" s="52">
        <f>SUM(D46:D47)</f>
        <v>0</v>
      </c>
      <c r="E48" s="52">
        <f t="shared" ref="E48:K48" si="8">SUM(E46:E47)</f>
        <v>0</v>
      </c>
      <c r="F48" s="52">
        <f t="shared" si="8"/>
        <v>0</v>
      </c>
      <c r="G48" s="52">
        <f t="shared" si="8"/>
        <v>11100</v>
      </c>
      <c r="H48" s="52">
        <f t="shared" si="8"/>
        <v>0</v>
      </c>
      <c r="I48" s="52">
        <f t="shared" si="8"/>
        <v>0</v>
      </c>
      <c r="J48" s="52">
        <f t="shared" si="8"/>
        <v>0</v>
      </c>
      <c r="K48" s="52">
        <f t="shared" si="8"/>
        <v>11100</v>
      </c>
    </row>
    <row r="49" spans="1:12" s="22" customFormat="1" x14ac:dyDescent="0.2">
      <c r="C49" s="67"/>
    </row>
    <row r="50" spans="1:12" s="22" customFormat="1" x14ac:dyDescent="0.2">
      <c r="A50" s="56"/>
      <c r="B50" s="57"/>
      <c r="C50" s="58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4"/>
    </row>
    <row r="51" spans="1:12" s="22" customFormat="1" ht="28.5" x14ac:dyDescent="0.2">
      <c r="A51" s="56"/>
      <c r="B51" s="59" t="s">
        <v>61</v>
      </c>
      <c r="C51" s="60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5"/>
    </row>
    <row r="52" spans="1:12" s="22" customFormat="1" x14ac:dyDescent="0.2">
      <c r="A52" s="56"/>
      <c r="B52" s="62" t="s">
        <v>17</v>
      </c>
      <c r="C52" s="63" t="s">
        <v>256</v>
      </c>
      <c r="D52" s="51" t="s">
        <v>20</v>
      </c>
      <c r="E52" s="51" t="s">
        <v>20</v>
      </c>
      <c r="F52" s="51">
        <v>65000</v>
      </c>
      <c r="G52" s="51">
        <v>0</v>
      </c>
      <c r="H52" s="51" t="s">
        <v>20</v>
      </c>
      <c r="I52" s="51" t="s">
        <v>20</v>
      </c>
      <c r="J52" s="51" t="s">
        <v>20</v>
      </c>
      <c r="K52" s="51">
        <f>D52+E52+F52+G52+H52+I52+J52</f>
        <v>65000</v>
      </c>
      <c r="L52" s="157"/>
    </row>
    <row r="53" spans="1:12" s="22" customFormat="1" ht="28.5" x14ac:dyDescent="0.25">
      <c r="A53" s="61" t="s">
        <v>63</v>
      </c>
      <c r="B53" s="62" t="s">
        <v>21</v>
      </c>
      <c r="C53" s="63" t="s">
        <v>64</v>
      </c>
      <c r="D53" s="51" t="s">
        <v>20</v>
      </c>
      <c r="E53" s="51" t="s">
        <v>20</v>
      </c>
      <c r="F53" s="51" t="s">
        <v>20</v>
      </c>
      <c r="G53" s="51">
        <v>0</v>
      </c>
      <c r="H53" s="51" t="s">
        <v>20</v>
      </c>
      <c r="I53" s="51" t="s">
        <v>20</v>
      </c>
      <c r="J53" s="51" t="s">
        <v>20</v>
      </c>
      <c r="K53" s="51">
        <f>D53+E53+F53+G53+H53+I53+J53</f>
        <v>0</v>
      </c>
    </row>
    <row r="54" spans="1:12" s="22" customFormat="1" ht="15" x14ac:dyDescent="0.25">
      <c r="A54" s="64"/>
      <c r="B54" s="62" t="s">
        <v>23</v>
      </c>
      <c r="C54" s="63" t="s">
        <v>65</v>
      </c>
      <c r="D54" s="51" t="s">
        <v>20</v>
      </c>
      <c r="E54" s="51" t="s">
        <v>20</v>
      </c>
      <c r="F54" s="51">
        <f>18500+16200</f>
        <v>34700</v>
      </c>
      <c r="G54" s="51">
        <f>131500-16200-4000</f>
        <v>111300</v>
      </c>
      <c r="H54" s="51" t="s">
        <v>20</v>
      </c>
      <c r="I54" s="51" t="s">
        <v>20</v>
      </c>
      <c r="J54" s="51" t="s">
        <v>20</v>
      </c>
      <c r="K54" s="51">
        <f>D54+E54+F54+G54+H54+I54+J54</f>
        <v>146000</v>
      </c>
    </row>
    <row r="55" spans="1:12" s="22" customFormat="1" ht="28.5" x14ac:dyDescent="0.2">
      <c r="A55" s="20" t="s">
        <v>63</v>
      </c>
      <c r="B55" s="65"/>
      <c r="C55" s="66" t="s">
        <v>66</v>
      </c>
      <c r="D55" s="52">
        <f>SUM(D53:D54)</f>
        <v>0</v>
      </c>
      <c r="E55" s="52">
        <f>SUM(E53:E54)</f>
        <v>0</v>
      </c>
      <c r="F55" s="52">
        <f>SUM(F52:F54)</f>
        <v>99700</v>
      </c>
      <c r="G55" s="52">
        <f>SUM(G52:G54)</f>
        <v>111300</v>
      </c>
      <c r="H55" s="52">
        <f>SUM(H52:H54)</f>
        <v>0</v>
      </c>
      <c r="I55" s="52">
        <f>SUM(I52:I54)</f>
        <v>0</v>
      </c>
      <c r="J55" s="52">
        <f>SUM(J52:J54)</f>
        <v>0</v>
      </c>
      <c r="K55" s="52">
        <f>D55+E55+F55+G55+H55+I55+J55</f>
        <v>211000</v>
      </c>
    </row>
    <row r="56" spans="1:12" s="22" customFormat="1" x14ac:dyDescent="0.2">
      <c r="C56" s="67"/>
    </row>
    <row r="57" spans="1:12" s="22" customFormat="1" ht="28.5" x14ac:dyDescent="0.2">
      <c r="B57" s="59" t="s">
        <v>211</v>
      </c>
      <c r="C57" s="60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</row>
    <row r="58" spans="1:12" s="22" customFormat="1" x14ac:dyDescent="0.2">
      <c r="B58" s="62" t="s">
        <v>21</v>
      </c>
      <c r="C58" s="63" t="s">
        <v>213</v>
      </c>
      <c r="D58" s="51" t="s">
        <v>20</v>
      </c>
      <c r="E58" s="51" t="s">
        <v>20</v>
      </c>
      <c r="F58" s="51" t="s">
        <v>20</v>
      </c>
      <c r="G58" s="51">
        <v>100000</v>
      </c>
      <c r="H58" s="51" t="s">
        <v>20</v>
      </c>
      <c r="I58" s="51" t="s">
        <v>20</v>
      </c>
      <c r="J58" s="51" t="s">
        <v>20</v>
      </c>
      <c r="K58" s="51">
        <f>D58+E58+F58+G58+H58+I58+J58</f>
        <v>100000</v>
      </c>
    </row>
    <row r="59" spans="1:12" s="22" customFormat="1" ht="28.5" x14ac:dyDescent="0.2">
      <c r="B59" s="65"/>
      <c r="C59" s="66" t="s">
        <v>214</v>
      </c>
      <c r="D59" s="52">
        <f t="shared" ref="D59:J59" si="9">SUM(D57:D58)</f>
        <v>0</v>
      </c>
      <c r="E59" s="52">
        <f t="shared" si="9"/>
        <v>0</v>
      </c>
      <c r="F59" s="52">
        <f t="shared" si="9"/>
        <v>0</v>
      </c>
      <c r="G59" s="52">
        <f t="shared" si="9"/>
        <v>100000</v>
      </c>
      <c r="H59" s="52">
        <f t="shared" si="9"/>
        <v>0</v>
      </c>
      <c r="I59" s="52">
        <f t="shared" si="9"/>
        <v>0</v>
      </c>
      <c r="J59" s="52">
        <f t="shared" si="9"/>
        <v>0</v>
      </c>
      <c r="K59" s="52">
        <f>D59+E59+F59+G59+H59+I59+J59</f>
        <v>100000</v>
      </c>
    </row>
    <row r="60" spans="1:12" s="22" customFormat="1" x14ac:dyDescent="0.2">
      <c r="C60" s="67"/>
    </row>
    <row r="61" spans="1:12" s="22" customFormat="1" ht="28.5" x14ac:dyDescent="0.2">
      <c r="A61" s="56"/>
      <c r="B61" s="59" t="s">
        <v>67</v>
      </c>
      <c r="C61" s="60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5"/>
    </row>
    <row r="62" spans="1:12" s="22" customFormat="1" ht="28.5" x14ac:dyDescent="0.2">
      <c r="A62" s="56"/>
      <c r="B62" s="62" t="s">
        <v>17</v>
      </c>
      <c r="C62" s="63" t="s">
        <v>259</v>
      </c>
      <c r="D62" s="51" t="s">
        <v>20</v>
      </c>
      <c r="E62" s="51" t="s">
        <v>20</v>
      </c>
      <c r="F62" s="51" t="s">
        <v>20</v>
      </c>
      <c r="G62" s="51">
        <v>62000</v>
      </c>
      <c r="H62" s="51" t="s">
        <v>20</v>
      </c>
      <c r="I62" s="51" t="s">
        <v>20</v>
      </c>
      <c r="J62" s="51" t="s">
        <v>20</v>
      </c>
      <c r="K62" s="51">
        <f>D62+E62+F62+G62+H62+I62+J62</f>
        <v>62000</v>
      </c>
    </row>
    <row r="63" spans="1:12" s="22" customFormat="1" ht="42.75" x14ac:dyDescent="0.25">
      <c r="A63" s="61" t="s">
        <v>69</v>
      </c>
      <c r="B63" s="62" t="s">
        <v>21</v>
      </c>
      <c r="C63" s="63" t="s">
        <v>70</v>
      </c>
      <c r="D63" s="51" t="s">
        <v>20</v>
      </c>
      <c r="E63" s="51" t="s">
        <v>20</v>
      </c>
      <c r="F63" s="51" t="s">
        <v>20</v>
      </c>
      <c r="G63" s="51">
        <f>62000-62000</f>
        <v>0</v>
      </c>
      <c r="H63" s="51" t="s">
        <v>20</v>
      </c>
      <c r="I63" s="51" t="s">
        <v>20</v>
      </c>
      <c r="J63" s="51" t="s">
        <v>20</v>
      </c>
      <c r="K63" s="51">
        <f>D63+E63+F63+G63+H63+I63+J63</f>
        <v>0</v>
      </c>
    </row>
    <row r="64" spans="1:12" s="22" customFormat="1" ht="28.5" x14ac:dyDescent="0.2">
      <c r="A64" s="20" t="s">
        <v>69</v>
      </c>
      <c r="B64" s="65"/>
      <c r="C64" s="66" t="s">
        <v>71</v>
      </c>
      <c r="D64" s="52">
        <f>SUM(D62:D63)</f>
        <v>0</v>
      </c>
      <c r="E64" s="52">
        <f t="shared" ref="E64:K64" si="10">SUM(E62:E63)</f>
        <v>0</v>
      </c>
      <c r="F64" s="52">
        <f t="shared" si="10"/>
        <v>0</v>
      </c>
      <c r="G64" s="52">
        <f t="shared" si="10"/>
        <v>62000</v>
      </c>
      <c r="H64" s="52">
        <f t="shared" si="10"/>
        <v>0</v>
      </c>
      <c r="I64" s="52">
        <f t="shared" si="10"/>
        <v>0</v>
      </c>
      <c r="J64" s="52">
        <f t="shared" si="10"/>
        <v>0</v>
      </c>
      <c r="K64" s="52">
        <f t="shared" si="10"/>
        <v>62000</v>
      </c>
    </row>
    <row r="65" spans="1:11" s="22" customFormat="1" x14ac:dyDescent="0.2">
      <c r="C65" s="67"/>
    </row>
    <row r="66" spans="1:11" s="22" customFormat="1" x14ac:dyDescent="0.2">
      <c r="A66" s="56"/>
      <c r="B66" s="57"/>
      <c r="C66" s="58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4"/>
    </row>
    <row r="67" spans="1:11" s="22" customFormat="1" x14ac:dyDescent="0.2">
      <c r="A67" s="56"/>
      <c r="B67" s="59" t="s">
        <v>72</v>
      </c>
      <c r="C67" s="60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5"/>
    </row>
    <row r="68" spans="1:11" s="22" customFormat="1" ht="15" x14ac:dyDescent="0.25">
      <c r="A68" s="61" t="s">
        <v>74</v>
      </c>
      <c r="B68" s="62" t="s">
        <v>17</v>
      </c>
      <c r="C68" s="63" t="s">
        <v>75</v>
      </c>
      <c r="D68" s="51" t="s">
        <v>20</v>
      </c>
      <c r="E68" s="51" t="s">
        <v>20</v>
      </c>
      <c r="F68" s="51" t="s">
        <v>20</v>
      </c>
      <c r="G68" s="51" t="s">
        <v>20</v>
      </c>
      <c r="H68" s="51" t="s">
        <v>20</v>
      </c>
      <c r="I68" s="51" t="s">
        <v>20</v>
      </c>
      <c r="J68" s="51">
        <v>62300</v>
      </c>
      <c r="K68" s="51">
        <f>D68+E68+F68+G68+H68+I68+J68</f>
        <v>62300</v>
      </c>
    </row>
    <row r="69" spans="1:11" s="22" customFormat="1" ht="15" x14ac:dyDescent="0.25">
      <c r="A69" s="64"/>
      <c r="B69" s="62" t="s">
        <v>21</v>
      </c>
      <c r="C69" s="63" t="s">
        <v>76</v>
      </c>
      <c r="D69" s="51" t="s">
        <v>20</v>
      </c>
      <c r="E69" s="51" t="s">
        <v>20</v>
      </c>
      <c r="F69" s="51" t="s">
        <v>20</v>
      </c>
      <c r="G69" s="51" t="s">
        <v>20</v>
      </c>
      <c r="H69" s="51" t="s">
        <v>20</v>
      </c>
      <c r="I69" s="51" t="s">
        <v>20</v>
      </c>
      <c r="J69" s="51">
        <v>0</v>
      </c>
      <c r="K69" s="51">
        <f>D69+E69+F69+G69+H69+I69+J69</f>
        <v>0</v>
      </c>
    </row>
    <row r="70" spans="1:11" s="22" customFormat="1" ht="15" x14ac:dyDescent="0.25">
      <c r="A70" s="64"/>
      <c r="B70" s="62" t="s">
        <v>23</v>
      </c>
      <c r="C70" s="63" t="s">
        <v>77</v>
      </c>
      <c r="D70" s="51" t="s">
        <v>20</v>
      </c>
      <c r="E70" s="51" t="s">
        <v>20</v>
      </c>
      <c r="F70" s="51" t="s">
        <v>20</v>
      </c>
      <c r="G70" s="51" t="s">
        <v>20</v>
      </c>
      <c r="H70" s="51" t="s">
        <v>20</v>
      </c>
      <c r="I70" s="51" t="s">
        <v>20</v>
      </c>
      <c r="J70" s="51">
        <v>0</v>
      </c>
      <c r="K70" s="51">
        <f>D70+E70+F70+G70+H70+I70+J70</f>
        <v>0</v>
      </c>
    </row>
    <row r="71" spans="1:11" s="22" customFormat="1" ht="28.5" x14ac:dyDescent="0.2">
      <c r="A71" s="20" t="s">
        <v>74</v>
      </c>
      <c r="B71" s="65"/>
      <c r="C71" s="66" t="s">
        <v>78</v>
      </c>
      <c r="D71" s="52">
        <f>SUM(D68:D70)</f>
        <v>0</v>
      </c>
      <c r="E71" s="52">
        <f t="shared" ref="E71:J71" si="11">SUM(E68:E70)</f>
        <v>0</v>
      </c>
      <c r="F71" s="52">
        <f t="shared" si="11"/>
        <v>0</v>
      </c>
      <c r="G71" s="52">
        <f t="shared" si="11"/>
        <v>0</v>
      </c>
      <c r="H71" s="52">
        <f t="shared" si="11"/>
        <v>0</v>
      </c>
      <c r="I71" s="52">
        <f t="shared" si="11"/>
        <v>0</v>
      </c>
      <c r="J71" s="52">
        <f t="shared" si="11"/>
        <v>62300</v>
      </c>
      <c r="K71" s="52">
        <f>D71+E71+F71+G71+H71+I71+J71</f>
        <v>62300</v>
      </c>
    </row>
    <row r="72" spans="1:11" s="22" customFormat="1" x14ac:dyDescent="0.2">
      <c r="C72" s="67"/>
    </row>
    <row r="73" spans="1:11" s="22" customFormat="1" ht="15" x14ac:dyDescent="0.2">
      <c r="A73" s="70"/>
      <c r="B73" s="71"/>
      <c r="C73" s="72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70"/>
      <c r="B74" s="276" t="s">
        <v>79</v>
      </c>
      <c r="C74" s="276"/>
      <c r="D74" s="53">
        <f t="shared" ref="D74:K74" si="12">D71+D64+D55+D48+D42+D37+D31+D23+D14+D27+D59+D18</f>
        <v>259490.5</v>
      </c>
      <c r="E74" s="53">
        <f t="shared" si="12"/>
        <v>1185897</v>
      </c>
      <c r="F74" s="53">
        <f t="shared" si="12"/>
        <v>18408543.66</v>
      </c>
      <c r="G74" s="53">
        <f t="shared" si="12"/>
        <v>2823045</v>
      </c>
      <c r="H74" s="53">
        <f t="shared" si="12"/>
        <v>500</v>
      </c>
      <c r="I74" s="53">
        <f t="shared" si="12"/>
        <v>79476.070000000007</v>
      </c>
      <c r="J74" s="53">
        <f t="shared" si="12"/>
        <v>144255.5</v>
      </c>
      <c r="K74" s="53">
        <f t="shared" si="12"/>
        <v>22901207.73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fitToWidth="2" fitToHeight="2" orientation="landscape" r:id="rId1"/>
  <headerFooter alignWithMargins="0"/>
  <rowBreaks count="1" manualBreakCount="1">
    <brk id="3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71"/>
  <sheetViews>
    <sheetView topLeftCell="C1" zoomScaleNormal="100" zoomScaleSheetLayoutView="100" workbookViewId="0">
      <pane ySplit="3" topLeftCell="A61" activePane="bottomLeft" state="frozen"/>
      <selection sqref="A1:IV65536"/>
      <selection pane="bottomLeft" activeCell="C72" sqref="A72:IV78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6384" width="9.140625" style="27"/>
  </cols>
  <sheetData>
    <row r="1" spans="1:11" s="22" customFormat="1" ht="45" customHeight="1" x14ac:dyDescent="0.2">
      <c r="A1" s="277" t="s">
        <v>251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s="22" customFormat="1" ht="60" x14ac:dyDescent="0.2">
      <c r="B2" s="275" t="s">
        <v>0</v>
      </c>
      <c r="C2" s="275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04" t="s">
        <v>8</v>
      </c>
    </row>
    <row r="3" spans="1:11" s="22" customFormat="1" ht="15" x14ac:dyDescent="0.2">
      <c r="B3" s="275"/>
      <c r="C3" s="275"/>
      <c r="D3" s="204" t="s">
        <v>9</v>
      </c>
      <c r="E3" s="204" t="s">
        <v>10</v>
      </c>
      <c r="F3" s="204" t="s">
        <v>11</v>
      </c>
      <c r="G3" s="204" t="s">
        <v>12</v>
      </c>
      <c r="H3" s="204" t="s">
        <v>13</v>
      </c>
      <c r="I3" s="204" t="s">
        <v>14</v>
      </c>
      <c r="J3" s="204" t="s">
        <v>15</v>
      </c>
      <c r="K3" s="204" t="s">
        <v>16</v>
      </c>
    </row>
    <row r="4" spans="1:11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1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5"/>
    </row>
    <row r="6" spans="1:11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942551</v>
      </c>
      <c r="F6" s="51">
        <f>13408881.64+30000</f>
        <v>13438881.640000001</v>
      </c>
      <c r="G6" s="51">
        <f>1829105-30000</f>
        <v>1799105</v>
      </c>
      <c r="H6" s="51" t="s">
        <v>20</v>
      </c>
      <c r="I6" s="51" t="s">
        <v>20</v>
      </c>
      <c r="J6" s="51">
        <v>2000</v>
      </c>
      <c r="K6" s="51">
        <f t="shared" ref="K6:K12" si="0">D6+E6+F6+G6+H6+I6+J6</f>
        <v>16182537.640000001</v>
      </c>
    </row>
    <row r="7" spans="1:11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33060</v>
      </c>
      <c r="G7" s="51" t="s">
        <v>20</v>
      </c>
      <c r="H7" s="51" t="s">
        <v>20</v>
      </c>
      <c r="I7" s="51" t="s">
        <v>20</v>
      </c>
      <c r="J7" s="51" t="s">
        <v>20</v>
      </c>
      <c r="K7" s="51">
        <f t="shared" si="0"/>
        <v>33060</v>
      </c>
    </row>
    <row r="8" spans="1:11" s="22" customFormat="1" ht="28.5" x14ac:dyDescent="0.25">
      <c r="A8" s="64"/>
      <c r="B8" s="62" t="s">
        <v>23</v>
      </c>
      <c r="C8" s="63" t="s">
        <v>24</v>
      </c>
      <c r="D8" s="51">
        <v>274057.98</v>
      </c>
      <c r="E8" s="51">
        <v>10200</v>
      </c>
      <c r="F8" s="51">
        <v>2515111.35</v>
      </c>
      <c r="G8" s="51" t="s">
        <v>20</v>
      </c>
      <c r="H8" s="51" t="s">
        <v>20</v>
      </c>
      <c r="I8" s="51">
        <v>6000</v>
      </c>
      <c r="J8" s="51">
        <v>71955.5</v>
      </c>
      <c r="K8" s="51">
        <f t="shared" si="0"/>
        <v>2877324.83</v>
      </c>
    </row>
    <row r="9" spans="1:11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235000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245500</v>
      </c>
    </row>
    <row r="10" spans="1:11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325950</v>
      </c>
      <c r="G10" s="51" t="s">
        <v>20</v>
      </c>
      <c r="H10" s="51" t="s">
        <v>20</v>
      </c>
      <c r="I10" s="51" t="s">
        <v>20</v>
      </c>
      <c r="J10" s="51">
        <v>0</v>
      </c>
      <c r="K10" s="51">
        <f t="shared" si="0"/>
        <v>325950</v>
      </c>
    </row>
    <row r="11" spans="1:11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1150744.2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1150744.2</v>
      </c>
    </row>
    <row r="12" spans="1:11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4146</v>
      </c>
      <c r="F12" s="51">
        <f>70800+7200</f>
        <v>78000</v>
      </c>
      <c r="G12" s="51" t="s">
        <v>20</v>
      </c>
      <c r="H12" s="51" t="s">
        <v>20</v>
      </c>
      <c r="I12" s="51">
        <f>80676.07-7200</f>
        <v>73476.070000000007</v>
      </c>
      <c r="J12" s="51" t="s">
        <v>20</v>
      </c>
      <c r="K12" s="51">
        <f t="shared" si="0"/>
        <v>156002.07</v>
      </c>
    </row>
    <row r="13" spans="1:11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5000</v>
      </c>
      <c r="G13" s="51">
        <v>9010</v>
      </c>
      <c r="H13" s="51">
        <v>500</v>
      </c>
      <c r="I13" s="51" t="s">
        <v>20</v>
      </c>
      <c r="J13" s="51">
        <v>2000</v>
      </c>
      <c r="K13" s="51">
        <f>D13+E13+F13+G13+H13+I13+J13</f>
        <v>16510</v>
      </c>
    </row>
    <row r="14" spans="1:11" s="22" customFormat="1" ht="28.5" x14ac:dyDescent="0.2">
      <c r="A14" s="20" t="s">
        <v>16</v>
      </c>
      <c r="B14" s="65"/>
      <c r="C14" s="66" t="s">
        <v>35</v>
      </c>
      <c r="D14" s="52">
        <f>SUM(D6:D13)</f>
        <v>274437.98</v>
      </c>
      <c r="E14" s="52">
        <f t="shared" ref="E14:J14" si="1">SUM(E6:E13)</f>
        <v>1191897</v>
      </c>
      <c r="F14" s="52">
        <f t="shared" si="1"/>
        <v>17551247.190000001</v>
      </c>
      <c r="G14" s="52">
        <f t="shared" si="1"/>
        <v>1808115</v>
      </c>
      <c r="H14" s="52">
        <f t="shared" si="1"/>
        <v>500</v>
      </c>
      <c r="I14" s="52">
        <f t="shared" si="1"/>
        <v>79476.070000000007</v>
      </c>
      <c r="J14" s="52">
        <f t="shared" si="1"/>
        <v>81955.5</v>
      </c>
      <c r="K14" s="52">
        <f>D14+E14+F14+G14+H14+I14+J14</f>
        <v>20987628.740000002</v>
      </c>
    </row>
    <row r="15" spans="1:11" s="22" customFormat="1" x14ac:dyDescent="0.2">
      <c r="C15" s="67"/>
    </row>
    <row r="16" spans="1:11" s="22" customFormat="1" x14ac:dyDescent="0.2">
      <c r="B16" s="59" t="s">
        <v>243</v>
      </c>
      <c r="C16" s="60" t="s">
        <v>244</v>
      </c>
      <c r="D16" s="207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246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245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752651.34</v>
      </c>
      <c r="G22" s="51">
        <f>573500+4000</f>
        <v>577500</v>
      </c>
      <c r="H22" s="51" t="s">
        <v>20</v>
      </c>
      <c r="I22" s="51" t="s">
        <v>20</v>
      </c>
      <c r="J22" s="51">
        <v>0</v>
      </c>
      <c r="K22" s="51">
        <f>D22+E22+F22+G22+H22+I22+J22</f>
        <v>1330151.3399999999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752651.34</v>
      </c>
      <c r="G23" s="52">
        <f t="shared" si="3"/>
        <v>577500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1330151.3399999999</v>
      </c>
    </row>
    <row r="24" spans="1:11" s="22" customFormat="1" x14ac:dyDescent="0.2">
      <c r="C24" s="67"/>
    </row>
    <row r="25" spans="1:11" s="22" customFormat="1" x14ac:dyDescent="0.2">
      <c r="A25" s="56"/>
      <c r="B25" s="57"/>
      <c r="C25" s="58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4"/>
    </row>
    <row r="26" spans="1:11" s="22" customFormat="1" x14ac:dyDescent="0.2">
      <c r="A26" s="56"/>
      <c r="B26" s="59" t="s">
        <v>41</v>
      </c>
      <c r="C26" s="60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5"/>
    </row>
    <row r="27" spans="1:11" s="22" customFormat="1" ht="15" x14ac:dyDescent="0.25">
      <c r="A27" s="61" t="s">
        <v>43</v>
      </c>
      <c r="B27" s="62" t="s">
        <v>17</v>
      </c>
      <c r="C27" s="63" t="s">
        <v>44</v>
      </c>
      <c r="D27" s="51" t="s">
        <v>20</v>
      </c>
      <c r="E27" s="51" t="s">
        <v>20</v>
      </c>
      <c r="F27" s="51" t="s">
        <v>20</v>
      </c>
      <c r="G27" s="51">
        <v>0</v>
      </c>
      <c r="H27" s="51" t="s">
        <v>20</v>
      </c>
      <c r="I27" s="51" t="s">
        <v>20</v>
      </c>
      <c r="J27" s="51" t="s">
        <v>20</v>
      </c>
      <c r="K27" s="51">
        <v>0</v>
      </c>
    </row>
    <row r="28" spans="1:11" s="22" customFormat="1" ht="15" x14ac:dyDescent="0.2">
      <c r="A28" s="20" t="s">
        <v>43</v>
      </c>
      <c r="B28" s="65"/>
      <c r="C28" s="66" t="s">
        <v>45</v>
      </c>
      <c r="D28" s="52">
        <f>SUM(D27)</f>
        <v>0</v>
      </c>
      <c r="E28" s="52">
        <f t="shared" ref="E28:J28" si="4">SUM(E27)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v>0</v>
      </c>
    </row>
    <row r="29" spans="1:11" s="22" customFormat="1" ht="8.25" customHeight="1" x14ac:dyDescent="0.2">
      <c r="C29" s="67"/>
    </row>
    <row r="30" spans="1:11" s="22" customFormat="1" hidden="1" x14ac:dyDescent="0.2">
      <c r="A30" s="56"/>
      <c r="B30" s="57"/>
      <c r="C30" s="58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4"/>
    </row>
    <row r="31" spans="1:11" s="22" customFormat="1" ht="28.5" x14ac:dyDescent="0.2">
      <c r="A31" s="56"/>
      <c r="B31" s="59" t="s">
        <v>46</v>
      </c>
      <c r="C31" s="60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5"/>
    </row>
    <row r="32" spans="1:11" s="22" customFormat="1" ht="15" x14ac:dyDescent="0.25">
      <c r="A32" s="61" t="s">
        <v>48</v>
      </c>
      <c r="B32" s="62" t="s">
        <v>21</v>
      </c>
      <c r="C32" s="63" t="s">
        <v>49</v>
      </c>
      <c r="D32" s="51" t="s">
        <v>20</v>
      </c>
      <c r="E32" s="51" t="s">
        <v>20</v>
      </c>
      <c r="F32" s="51" t="s">
        <v>20</v>
      </c>
      <c r="G32" s="51">
        <v>0</v>
      </c>
      <c r="H32" s="51" t="s">
        <v>20</v>
      </c>
      <c r="I32" s="51" t="s">
        <v>20</v>
      </c>
      <c r="J32" s="51" t="s">
        <v>20</v>
      </c>
      <c r="K32" s="51">
        <f>D32+E32+F32+G32+H32+I32+J32</f>
        <v>0</v>
      </c>
    </row>
    <row r="33" spans="1:11" s="22" customFormat="1" ht="15" x14ac:dyDescent="0.25">
      <c r="A33" s="64"/>
      <c r="B33" s="62" t="s">
        <v>23</v>
      </c>
      <c r="C33" s="63" t="s">
        <v>50</v>
      </c>
      <c r="D33" s="51" t="s">
        <v>20</v>
      </c>
      <c r="E33" s="51" t="s">
        <v>20</v>
      </c>
      <c r="F33" s="51">
        <v>13400</v>
      </c>
      <c r="G33" s="51">
        <v>0</v>
      </c>
      <c r="H33" s="51" t="s">
        <v>20</v>
      </c>
      <c r="I33" s="51" t="s">
        <v>20</v>
      </c>
      <c r="J33" s="51" t="s">
        <v>20</v>
      </c>
      <c r="K33" s="51">
        <f>D33+E33+F33+G33+H33+I33+J33</f>
        <v>13400</v>
      </c>
    </row>
    <row r="34" spans="1:11" s="22" customFormat="1" ht="28.5" x14ac:dyDescent="0.2">
      <c r="A34" s="20" t="s">
        <v>48</v>
      </c>
      <c r="B34" s="65"/>
      <c r="C34" s="66" t="s">
        <v>51</v>
      </c>
      <c r="D34" s="52">
        <f>SUM(D32:D33)</f>
        <v>0</v>
      </c>
      <c r="E34" s="52">
        <f t="shared" ref="E34:J34" si="5">SUM(E32:E33)</f>
        <v>0</v>
      </c>
      <c r="F34" s="52">
        <f t="shared" si="5"/>
        <v>13400</v>
      </c>
      <c r="G34" s="52">
        <f t="shared" si="5"/>
        <v>0</v>
      </c>
      <c r="H34" s="52">
        <f t="shared" si="5"/>
        <v>0</v>
      </c>
      <c r="I34" s="52">
        <f t="shared" si="5"/>
        <v>0</v>
      </c>
      <c r="J34" s="52">
        <f t="shared" si="5"/>
        <v>0</v>
      </c>
      <c r="K34" s="52">
        <f>D34+E34+F34+G34+H34+I34+J34</f>
        <v>13400</v>
      </c>
    </row>
    <row r="35" spans="1:11" s="22" customFormat="1" x14ac:dyDescent="0.2">
      <c r="C35" s="67"/>
    </row>
    <row r="36" spans="1:11" s="22" customFormat="1" x14ac:dyDescent="0.2">
      <c r="A36" s="56"/>
      <c r="B36" s="59" t="s">
        <v>33</v>
      </c>
      <c r="C36" s="60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5"/>
    </row>
    <row r="37" spans="1:11" s="22" customFormat="1" ht="15" x14ac:dyDescent="0.25">
      <c r="A37" s="61" t="s">
        <v>53</v>
      </c>
      <c r="B37" s="62" t="s">
        <v>21</v>
      </c>
      <c r="C37" s="63" t="s">
        <v>54</v>
      </c>
      <c r="D37" s="51" t="s">
        <v>20</v>
      </c>
      <c r="E37" s="51" t="s">
        <v>20</v>
      </c>
      <c r="F37" s="51" t="s">
        <v>20</v>
      </c>
      <c r="G37" s="51">
        <v>0</v>
      </c>
      <c r="H37" s="51" t="s">
        <v>20</v>
      </c>
      <c r="I37" s="51" t="s">
        <v>20</v>
      </c>
      <c r="J37" s="51" t="s">
        <v>20</v>
      </c>
      <c r="K37" s="51">
        <f>D37+E37+F37+G37+H37+I37+J37</f>
        <v>0</v>
      </c>
    </row>
    <row r="38" spans="1:11" s="22" customFormat="1" ht="15" x14ac:dyDescent="0.2">
      <c r="A38" s="20" t="s">
        <v>53</v>
      </c>
      <c r="B38" s="65"/>
      <c r="C38" s="66" t="s">
        <v>55</v>
      </c>
      <c r="D38" s="52">
        <f>SUM(D37)</f>
        <v>0</v>
      </c>
      <c r="E38" s="52">
        <f t="shared" ref="E38:J38" si="6">SUM(E37)</f>
        <v>0</v>
      </c>
      <c r="F38" s="52">
        <f t="shared" si="6"/>
        <v>0</v>
      </c>
      <c r="G38" s="52">
        <f t="shared" si="6"/>
        <v>0</v>
      </c>
      <c r="H38" s="52">
        <f t="shared" si="6"/>
        <v>0</v>
      </c>
      <c r="I38" s="52">
        <f t="shared" si="6"/>
        <v>0</v>
      </c>
      <c r="J38" s="52">
        <f t="shared" si="6"/>
        <v>0</v>
      </c>
      <c r="K38" s="52">
        <f>D38+E38+F38+G38+H38+I38+J38</f>
        <v>0</v>
      </c>
    </row>
    <row r="39" spans="1:11" s="22" customFormat="1" x14ac:dyDescent="0.2">
      <c r="C39" s="67"/>
    </row>
    <row r="40" spans="1:11" s="22" customFormat="1" x14ac:dyDescent="0.2">
      <c r="A40" s="56"/>
      <c r="B40" s="57"/>
      <c r="C40" s="58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4"/>
    </row>
    <row r="41" spans="1:11" s="22" customFormat="1" ht="28.5" x14ac:dyDescent="0.2">
      <c r="A41" s="56"/>
      <c r="B41" s="59" t="s">
        <v>56</v>
      </c>
      <c r="C41" s="60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5"/>
    </row>
    <row r="42" spans="1:11" s="22" customFormat="1" ht="28.5" x14ac:dyDescent="0.2">
      <c r="A42" s="56"/>
      <c r="B42" s="62" t="s">
        <v>41</v>
      </c>
      <c r="C42" s="63" t="s">
        <v>258</v>
      </c>
      <c r="D42" s="51" t="s">
        <v>20</v>
      </c>
      <c r="E42" s="51" t="s">
        <v>20</v>
      </c>
      <c r="F42" s="51" t="s">
        <v>20</v>
      </c>
      <c r="G42" s="51">
        <v>11500</v>
      </c>
      <c r="H42" s="51" t="s">
        <v>20</v>
      </c>
      <c r="I42" s="51" t="s">
        <v>20</v>
      </c>
      <c r="J42" s="51" t="s">
        <v>20</v>
      </c>
      <c r="K42" s="51">
        <f>D42+E42+F42+G42+H42+I42+J42</f>
        <v>11500</v>
      </c>
    </row>
    <row r="43" spans="1:11" s="22" customFormat="1" ht="28.5" x14ac:dyDescent="0.25">
      <c r="A43" s="61" t="s">
        <v>58</v>
      </c>
      <c r="B43" s="62" t="s">
        <v>31</v>
      </c>
      <c r="C43" s="63" t="s">
        <v>59</v>
      </c>
      <c r="D43" s="51" t="s">
        <v>20</v>
      </c>
      <c r="E43" s="51" t="s">
        <v>20</v>
      </c>
      <c r="F43" s="51" t="s">
        <v>20</v>
      </c>
      <c r="G43" s="51">
        <f>11500-11500</f>
        <v>0</v>
      </c>
      <c r="H43" s="51" t="s">
        <v>20</v>
      </c>
      <c r="I43" s="51" t="s">
        <v>20</v>
      </c>
      <c r="J43" s="51" t="s">
        <v>20</v>
      </c>
      <c r="K43" s="51">
        <f>D43+E43+F43+G43+H43+I43+J43</f>
        <v>0</v>
      </c>
    </row>
    <row r="44" spans="1:11" s="22" customFormat="1" ht="28.5" x14ac:dyDescent="0.2">
      <c r="A44" s="20" t="s">
        <v>58</v>
      </c>
      <c r="B44" s="65"/>
      <c r="C44" s="66" t="s">
        <v>60</v>
      </c>
      <c r="D44" s="52">
        <f>SUM(D42:D43)</f>
        <v>0</v>
      </c>
      <c r="E44" s="52">
        <f t="shared" ref="E44:K44" si="7">SUM(E42:E43)</f>
        <v>0</v>
      </c>
      <c r="F44" s="52">
        <f t="shared" si="7"/>
        <v>0</v>
      </c>
      <c r="G44" s="52">
        <f t="shared" si="7"/>
        <v>11500</v>
      </c>
      <c r="H44" s="52">
        <f t="shared" si="7"/>
        <v>0</v>
      </c>
      <c r="I44" s="52">
        <f t="shared" si="7"/>
        <v>0</v>
      </c>
      <c r="J44" s="52">
        <f t="shared" si="7"/>
        <v>0</v>
      </c>
      <c r="K44" s="52">
        <f t="shared" si="7"/>
        <v>11500</v>
      </c>
    </row>
    <row r="45" spans="1:11" s="22" customFormat="1" x14ac:dyDescent="0.2">
      <c r="C45" s="67"/>
    </row>
    <row r="46" spans="1:11" s="22" customFormat="1" x14ac:dyDescent="0.2">
      <c r="A46" s="56"/>
      <c r="B46" s="57"/>
      <c r="C46" s="58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4"/>
    </row>
    <row r="47" spans="1:11" s="22" customFormat="1" ht="28.5" x14ac:dyDescent="0.2">
      <c r="A47" s="56"/>
      <c r="B47" s="59" t="s">
        <v>61</v>
      </c>
      <c r="C47" s="60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5"/>
    </row>
    <row r="48" spans="1:11" s="22" customFormat="1" ht="28.5" x14ac:dyDescent="0.25">
      <c r="A48" s="61" t="s">
        <v>63</v>
      </c>
      <c r="B48" s="62" t="s">
        <v>21</v>
      </c>
      <c r="C48" s="63" t="s">
        <v>64</v>
      </c>
      <c r="D48" s="51" t="s">
        <v>20</v>
      </c>
      <c r="E48" s="51" t="s">
        <v>20</v>
      </c>
      <c r="F48" s="51" t="s">
        <v>20</v>
      </c>
      <c r="G48" s="51">
        <v>0</v>
      </c>
      <c r="H48" s="51" t="s">
        <v>20</v>
      </c>
      <c r="I48" s="51" t="s">
        <v>20</v>
      </c>
      <c r="J48" s="51" t="s">
        <v>20</v>
      </c>
      <c r="K48" s="51">
        <f>D48+E48+F48+G48+H48+I48+J48</f>
        <v>0</v>
      </c>
    </row>
    <row r="49" spans="1:12" s="22" customFormat="1" ht="15" x14ac:dyDescent="0.25">
      <c r="A49" s="64"/>
      <c r="B49" s="62" t="s">
        <v>23</v>
      </c>
      <c r="C49" s="63" t="s">
        <v>65</v>
      </c>
      <c r="D49" s="51" t="s">
        <v>20</v>
      </c>
      <c r="E49" s="51" t="s">
        <v>20</v>
      </c>
      <c r="F49" s="51">
        <v>0</v>
      </c>
      <c r="G49" s="51">
        <f>150000-4000</f>
        <v>146000</v>
      </c>
      <c r="H49" s="51" t="s">
        <v>20</v>
      </c>
      <c r="I49" s="51" t="s">
        <v>20</v>
      </c>
      <c r="J49" s="51" t="s">
        <v>20</v>
      </c>
      <c r="K49" s="51">
        <f>D49+E49+F49+G49+H49+I49+J49</f>
        <v>146000</v>
      </c>
    </row>
    <row r="50" spans="1:12" s="22" customFormat="1" ht="28.5" x14ac:dyDescent="0.2">
      <c r="A50" s="20" t="s">
        <v>63</v>
      </c>
      <c r="B50" s="65"/>
      <c r="C50" s="66" t="s">
        <v>66</v>
      </c>
      <c r="D50" s="52">
        <f>SUM(D48:D49)</f>
        <v>0</v>
      </c>
      <c r="E50" s="52">
        <f t="shared" ref="E50:J50" si="8">SUM(E48:E49)</f>
        <v>0</v>
      </c>
      <c r="F50" s="52">
        <f t="shared" si="8"/>
        <v>0</v>
      </c>
      <c r="G50" s="52">
        <f t="shared" si="8"/>
        <v>146000</v>
      </c>
      <c r="H50" s="52">
        <f t="shared" si="8"/>
        <v>0</v>
      </c>
      <c r="I50" s="52">
        <f t="shared" si="8"/>
        <v>0</v>
      </c>
      <c r="J50" s="52">
        <f t="shared" si="8"/>
        <v>0</v>
      </c>
      <c r="K50" s="52">
        <f>D50+E50+F50+G50+H50+I50+J50</f>
        <v>146000</v>
      </c>
    </row>
    <row r="51" spans="1:12" s="22" customFormat="1" x14ac:dyDescent="0.2">
      <c r="C51" s="67"/>
    </row>
    <row r="52" spans="1:12" s="22" customFormat="1" ht="28.5" x14ac:dyDescent="0.2">
      <c r="B52" s="59" t="s">
        <v>211</v>
      </c>
      <c r="C52" s="60" t="s">
        <v>212</v>
      </c>
      <c r="D52" s="21" t="s">
        <v>9</v>
      </c>
      <c r="E52" s="21" t="s">
        <v>10</v>
      </c>
      <c r="F52" s="21" t="s">
        <v>11</v>
      </c>
      <c r="G52" s="21" t="s">
        <v>12</v>
      </c>
      <c r="H52" s="21" t="s">
        <v>13</v>
      </c>
      <c r="I52" s="21" t="s">
        <v>14</v>
      </c>
      <c r="J52" s="21" t="s">
        <v>15</v>
      </c>
      <c r="K52" s="55"/>
    </row>
    <row r="53" spans="1:12" s="22" customFormat="1" x14ac:dyDescent="0.2">
      <c r="B53" s="62" t="s">
        <v>21</v>
      </c>
      <c r="C53" s="63" t="s">
        <v>213</v>
      </c>
      <c r="D53" s="51" t="s">
        <v>20</v>
      </c>
      <c r="E53" s="51" t="s">
        <v>20</v>
      </c>
      <c r="F53" s="51" t="s">
        <v>20</v>
      </c>
      <c r="G53" s="51">
        <v>100000</v>
      </c>
      <c r="H53" s="51" t="s">
        <v>20</v>
      </c>
      <c r="I53" s="51" t="s">
        <v>20</v>
      </c>
      <c r="J53" s="51" t="s">
        <v>20</v>
      </c>
      <c r="K53" s="51">
        <f>D53+E53+F53+G53+H53+I53+J53</f>
        <v>100000</v>
      </c>
    </row>
    <row r="54" spans="1:12" s="22" customFormat="1" ht="28.5" x14ac:dyDescent="0.2">
      <c r="B54" s="65"/>
      <c r="C54" s="66" t="s">
        <v>214</v>
      </c>
      <c r="D54" s="52">
        <f t="shared" ref="D54:J54" si="9">SUM(D52:D53)</f>
        <v>0</v>
      </c>
      <c r="E54" s="52">
        <f t="shared" si="9"/>
        <v>0</v>
      </c>
      <c r="F54" s="52">
        <f t="shared" si="9"/>
        <v>0</v>
      </c>
      <c r="G54" s="52">
        <f t="shared" si="9"/>
        <v>100000</v>
      </c>
      <c r="H54" s="52">
        <f t="shared" si="9"/>
        <v>0</v>
      </c>
      <c r="I54" s="52">
        <f t="shared" si="9"/>
        <v>0</v>
      </c>
      <c r="J54" s="52">
        <f t="shared" si="9"/>
        <v>0</v>
      </c>
      <c r="K54" s="52">
        <f>D54+E54+F54+G54+H54+I54+J54</f>
        <v>100000</v>
      </c>
    </row>
    <row r="55" spans="1:12" s="22" customFormat="1" x14ac:dyDescent="0.2">
      <c r="C55" s="67"/>
    </row>
    <row r="56" spans="1:12" s="22" customFormat="1" ht="28.5" x14ac:dyDescent="0.2">
      <c r="A56" s="56"/>
      <c r="B56" s="59" t="s">
        <v>67</v>
      </c>
      <c r="C56" s="60" t="s">
        <v>68</v>
      </c>
      <c r="D56" s="21" t="s">
        <v>9</v>
      </c>
      <c r="E56" s="21" t="s">
        <v>10</v>
      </c>
      <c r="F56" s="21" t="s">
        <v>11</v>
      </c>
      <c r="G56" s="21" t="s">
        <v>12</v>
      </c>
      <c r="H56" s="21" t="s">
        <v>13</v>
      </c>
      <c r="I56" s="21" t="s">
        <v>14</v>
      </c>
      <c r="J56" s="21" t="s">
        <v>15</v>
      </c>
      <c r="K56" s="55"/>
      <c r="L56" s="22" t="s">
        <v>88</v>
      </c>
    </row>
    <row r="57" spans="1:12" s="22" customFormat="1" ht="28.5" x14ac:dyDescent="0.2">
      <c r="A57" s="56"/>
      <c r="B57" s="62" t="s">
        <v>17</v>
      </c>
      <c r="C57" s="63" t="s">
        <v>259</v>
      </c>
      <c r="D57" s="51" t="s">
        <v>20</v>
      </c>
      <c r="E57" s="51" t="s">
        <v>20</v>
      </c>
      <c r="F57" s="51" t="s">
        <v>20</v>
      </c>
      <c r="G57" s="51">
        <v>62000</v>
      </c>
      <c r="H57" s="51" t="s">
        <v>20</v>
      </c>
      <c r="I57" s="51" t="s">
        <v>20</v>
      </c>
      <c r="J57" s="51" t="s">
        <v>20</v>
      </c>
      <c r="K57" s="51">
        <f>D57+E57+F57+G57+H57+I57+J57</f>
        <v>62000</v>
      </c>
    </row>
    <row r="58" spans="1:12" s="22" customFormat="1" ht="42.75" x14ac:dyDescent="0.25">
      <c r="A58" s="61" t="s">
        <v>69</v>
      </c>
      <c r="B58" s="62" t="s">
        <v>21</v>
      </c>
      <c r="C58" s="63" t="s">
        <v>70</v>
      </c>
      <c r="D58" s="51" t="s">
        <v>20</v>
      </c>
      <c r="E58" s="51" t="s">
        <v>20</v>
      </c>
      <c r="F58" s="51" t="s">
        <v>20</v>
      </c>
      <c r="G58" s="51">
        <f>62000-62000</f>
        <v>0</v>
      </c>
      <c r="H58" s="51" t="s">
        <v>20</v>
      </c>
      <c r="I58" s="51" t="s">
        <v>20</v>
      </c>
      <c r="J58" s="51" t="s">
        <v>20</v>
      </c>
      <c r="K58" s="51">
        <f>D58+E58+F58+G58+H58+I58+J58</f>
        <v>0</v>
      </c>
    </row>
    <row r="59" spans="1:12" s="22" customFormat="1" ht="28.5" x14ac:dyDescent="0.2">
      <c r="A59" s="20" t="s">
        <v>69</v>
      </c>
      <c r="B59" s="65"/>
      <c r="C59" s="66" t="s">
        <v>71</v>
      </c>
      <c r="D59" s="52">
        <f>SUM(D57:D58)</f>
        <v>0</v>
      </c>
      <c r="E59" s="52">
        <f t="shared" ref="E59:K59" si="10">SUM(E57:E58)</f>
        <v>0</v>
      </c>
      <c r="F59" s="52">
        <f t="shared" si="10"/>
        <v>0</v>
      </c>
      <c r="G59" s="52">
        <f t="shared" si="10"/>
        <v>62000</v>
      </c>
      <c r="H59" s="52">
        <f t="shared" si="10"/>
        <v>0</v>
      </c>
      <c r="I59" s="52">
        <f t="shared" si="10"/>
        <v>0</v>
      </c>
      <c r="J59" s="52">
        <f t="shared" si="10"/>
        <v>0</v>
      </c>
      <c r="K59" s="52">
        <f t="shared" si="10"/>
        <v>62000</v>
      </c>
    </row>
    <row r="60" spans="1:12" s="22" customFormat="1" x14ac:dyDescent="0.2">
      <c r="C60" s="67"/>
    </row>
    <row r="61" spans="1:12" s="22" customFormat="1" x14ac:dyDescent="0.2">
      <c r="A61" s="56"/>
      <c r="B61" s="57"/>
      <c r="C61" s="58"/>
      <c r="D61" s="20" t="s">
        <v>1</v>
      </c>
      <c r="E61" s="20" t="s">
        <v>2</v>
      </c>
      <c r="F61" s="20" t="s">
        <v>3</v>
      </c>
      <c r="G61" s="20" t="s">
        <v>4</v>
      </c>
      <c r="H61" s="20" t="s">
        <v>5</v>
      </c>
      <c r="I61" s="20" t="s">
        <v>6</v>
      </c>
      <c r="J61" s="20" t="s">
        <v>7</v>
      </c>
      <c r="K61" s="54"/>
    </row>
    <row r="62" spans="1:12" s="22" customFormat="1" x14ac:dyDescent="0.2">
      <c r="A62" s="56"/>
      <c r="B62" s="59" t="s">
        <v>72</v>
      </c>
      <c r="C62" s="60" t="s">
        <v>73</v>
      </c>
      <c r="D62" s="21" t="s">
        <v>9</v>
      </c>
      <c r="E62" s="21" t="s">
        <v>10</v>
      </c>
      <c r="F62" s="21" t="s">
        <v>11</v>
      </c>
      <c r="G62" s="21" t="s">
        <v>12</v>
      </c>
      <c r="H62" s="21" t="s">
        <v>13</v>
      </c>
      <c r="I62" s="21" t="s">
        <v>14</v>
      </c>
      <c r="J62" s="21" t="s">
        <v>15</v>
      </c>
      <c r="K62" s="55"/>
    </row>
    <row r="63" spans="1:12" s="22" customFormat="1" ht="15" x14ac:dyDescent="0.25">
      <c r="A63" s="61" t="s">
        <v>74</v>
      </c>
      <c r="B63" s="62" t="s">
        <v>17</v>
      </c>
      <c r="C63" s="63" t="s">
        <v>75</v>
      </c>
      <c r="D63" s="51" t="s">
        <v>20</v>
      </c>
      <c r="E63" s="51" t="s">
        <v>20</v>
      </c>
      <c r="F63" s="51" t="s">
        <v>20</v>
      </c>
      <c r="G63" s="51" t="s">
        <v>20</v>
      </c>
      <c r="H63" s="51" t="s">
        <v>20</v>
      </c>
      <c r="I63" s="51" t="s">
        <v>20</v>
      </c>
      <c r="J63" s="51">
        <v>62300</v>
      </c>
      <c r="K63" s="51">
        <f>D63+E63+F63+G63+H63+I63+J63</f>
        <v>62300</v>
      </c>
    </row>
    <row r="64" spans="1:12" s="22" customFormat="1" ht="15" x14ac:dyDescent="0.25">
      <c r="A64" s="64"/>
      <c r="B64" s="62" t="s">
        <v>21</v>
      </c>
      <c r="C64" s="63" t="s">
        <v>76</v>
      </c>
      <c r="D64" s="51" t="s">
        <v>20</v>
      </c>
      <c r="E64" s="51" t="s">
        <v>20</v>
      </c>
      <c r="F64" s="51" t="s">
        <v>20</v>
      </c>
      <c r="G64" s="51" t="s">
        <v>20</v>
      </c>
      <c r="H64" s="51" t="s">
        <v>20</v>
      </c>
      <c r="I64" s="51" t="s">
        <v>20</v>
      </c>
      <c r="J64" s="51">
        <f>100000-100000</f>
        <v>0</v>
      </c>
      <c r="K64" s="51">
        <f>D64+E64+F64+G64+H64+I64+J64</f>
        <v>0</v>
      </c>
    </row>
    <row r="65" spans="1:11" s="22" customFormat="1" ht="15" x14ac:dyDescent="0.25">
      <c r="A65" s="64"/>
      <c r="B65" s="62" t="s">
        <v>23</v>
      </c>
      <c r="C65" s="63" t="s">
        <v>77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v>0</v>
      </c>
      <c r="K65" s="51">
        <f>D65+E65+F65+G65+H65+I65+J65</f>
        <v>0</v>
      </c>
    </row>
    <row r="66" spans="1:11" s="22" customFormat="1" ht="28.5" x14ac:dyDescent="0.2">
      <c r="A66" s="20" t="s">
        <v>74</v>
      </c>
      <c r="B66" s="65"/>
      <c r="C66" s="66" t="s">
        <v>78</v>
      </c>
      <c r="D66" s="52">
        <f>SUM(D63:D65)</f>
        <v>0</v>
      </c>
      <c r="E66" s="52">
        <f t="shared" ref="E66:J66" si="11">SUM(E63:E65)</f>
        <v>0</v>
      </c>
      <c r="F66" s="52">
        <f t="shared" si="11"/>
        <v>0</v>
      </c>
      <c r="G66" s="52">
        <f t="shared" si="11"/>
        <v>0</v>
      </c>
      <c r="H66" s="52">
        <f t="shared" si="11"/>
        <v>0</v>
      </c>
      <c r="I66" s="52">
        <f t="shared" si="11"/>
        <v>0</v>
      </c>
      <c r="J66" s="52">
        <f t="shared" si="11"/>
        <v>62300</v>
      </c>
      <c r="K66" s="52">
        <f>D66+E66+F66+G66+H66+I66+J66</f>
        <v>62300</v>
      </c>
    </row>
    <row r="67" spans="1:11" s="22" customFormat="1" x14ac:dyDescent="0.2">
      <c r="C67" s="67"/>
    </row>
    <row r="68" spans="1:11" s="22" customFormat="1" ht="15" x14ac:dyDescent="0.2">
      <c r="A68" s="70"/>
      <c r="B68" s="71"/>
      <c r="C68" s="72"/>
      <c r="D68" s="24"/>
      <c r="E68" s="24"/>
      <c r="F68" s="24"/>
      <c r="G68" s="24"/>
      <c r="H68" s="24"/>
      <c r="I68" s="24"/>
      <c r="J68" s="24"/>
      <c r="K68" s="24"/>
    </row>
    <row r="69" spans="1:11" s="22" customFormat="1" ht="15" x14ac:dyDescent="0.2">
      <c r="A69" s="70"/>
      <c r="B69" s="276" t="s">
        <v>79</v>
      </c>
      <c r="C69" s="276"/>
      <c r="D69" s="53">
        <f>D66+D59+D50+D44+D38+D34+D28+D23+D14+D54+D18</f>
        <v>274437.98</v>
      </c>
      <c r="E69" s="53">
        <f t="shared" ref="E69:K69" si="12">E66+E59+E50+E44+E38+E34+E28+E23+E14+E54+E18</f>
        <v>1191897</v>
      </c>
      <c r="F69" s="53">
        <f t="shared" si="12"/>
        <v>18317298.530000001</v>
      </c>
      <c r="G69" s="53">
        <f>G66+G59+G50+G44+G38+G34+G28+G23+G14+G54+G18</f>
        <v>2805115</v>
      </c>
      <c r="H69" s="53">
        <f t="shared" si="12"/>
        <v>500</v>
      </c>
      <c r="I69" s="53">
        <f t="shared" si="12"/>
        <v>79476.070000000007</v>
      </c>
      <c r="J69" s="53">
        <f t="shared" si="12"/>
        <v>144255.5</v>
      </c>
      <c r="K69" s="53">
        <f t="shared" si="12"/>
        <v>22812980.080000002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L45"/>
  <sheetViews>
    <sheetView topLeftCell="A13" zoomScale="90" zoomScaleNormal="90" workbookViewId="0">
      <selection activeCell="F29" sqref="F29"/>
    </sheetView>
  </sheetViews>
  <sheetFormatPr defaultRowHeight="12.75" x14ac:dyDescent="0.2"/>
  <cols>
    <col min="1" max="1" width="5.7109375" style="98" customWidth="1"/>
    <col min="2" max="2" width="6.140625" style="98" customWidth="1"/>
    <col min="3" max="3" width="67.42578125" style="99" customWidth="1"/>
    <col min="4" max="4" width="26.85546875" style="98" customWidth="1"/>
    <col min="5" max="5" width="19.140625" style="98" customWidth="1"/>
    <col min="6" max="6" width="16.42578125" style="98" customWidth="1"/>
    <col min="7" max="7" width="22.710937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6384" width="9.140625" style="98"/>
  </cols>
  <sheetData>
    <row r="1" spans="2:12" s="75" customFormat="1" ht="65.25" customHeight="1" x14ac:dyDescent="0.15">
      <c r="B1" s="284" t="s">
        <v>230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2:12" s="75" customFormat="1" ht="5.25" customHeight="1" x14ac:dyDescent="0.15">
      <c r="C2" s="76"/>
    </row>
    <row r="3" spans="2:12" s="78" customFormat="1" ht="75" customHeight="1" x14ac:dyDescent="0.2">
      <c r="B3" s="278" t="s">
        <v>0</v>
      </c>
      <c r="C3" s="279"/>
      <c r="D3" s="77" t="s">
        <v>81</v>
      </c>
      <c r="E3" s="77" t="s">
        <v>82</v>
      </c>
      <c r="F3" s="77" t="s">
        <v>83</v>
      </c>
      <c r="G3" s="77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2:12" s="78" customFormat="1" ht="36.75" customHeight="1" x14ac:dyDescent="0.2">
      <c r="B4" s="280"/>
      <c r="C4" s="281"/>
      <c r="D4" s="79" t="s">
        <v>85</v>
      </c>
      <c r="E4" s="79" t="s">
        <v>86</v>
      </c>
      <c r="F4" s="79" t="s">
        <v>87</v>
      </c>
      <c r="G4" s="7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2:12" s="78" customFormat="1" ht="14.25" x14ac:dyDescent="0.2">
      <c r="B5" s="80"/>
      <c r="C5" s="81"/>
      <c r="D5" s="82" t="s">
        <v>80</v>
      </c>
      <c r="E5" s="83"/>
      <c r="F5" s="83"/>
      <c r="G5" s="84"/>
      <c r="H5" s="84"/>
      <c r="I5" s="84"/>
      <c r="J5" s="84"/>
      <c r="K5" s="84"/>
      <c r="L5" s="84"/>
    </row>
    <row r="6" spans="2:12" s="78" customFormat="1" ht="14.25" x14ac:dyDescent="0.2">
      <c r="B6" s="85" t="s">
        <v>17</v>
      </c>
      <c r="C6" s="86" t="s">
        <v>18</v>
      </c>
      <c r="D6" s="87" t="s">
        <v>85</v>
      </c>
      <c r="E6" s="87" t="s">
        <v>86</v>
      </c>
      <c r="F6" s="87" t="s">
        <v>87</v>
      </c>
      <c r="G6" s="88"/>
      <c r="H6" s="88"/>
      <c r="I6" s="88"/>
      <c r="J6" s="88"/>
      <c r="K6" s="88"/>
      <c r="L6" s="88"/>
    </row>
    <row r="7" spans="2:12" s="78" customFormat="1" ht="14.25" x14ac:dyDescent="0.2">
      <c r="B7" s="89" t="s">
        <v>23</v>
      </c>
      <c r="C7" s="90" t="s">
        <v>24</v>
      </c>
      <c r="D7" s="91">
        <f>36500+15921.9</f>
        <v>52421.9</v>
      </c>
      <c r="E7" s="91" t="s">
        <v>20</v>
      </c>
      <c r="F7" s="91" t="s">
        <v>20</v>
      </c>
      <c r="G7" s="92">
        <f>D7+E7+F7</f>
        <v>52421.9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2:12" s="78" customFormat="1" ht="14.25" x14ac:dyDescent="0.2">
      <c r="B8" s="89" t="s">
        <v>25</v>
      </c>
      <c r="C8" s="90" t="s">
        <v>26</v>
      </c>
      <c r="D8" s="91">
        <v>0</v>
      </c>
      <c r="E8" s="91">
        <v>0</v>
      </c>
      <c r="F8" s="91">
        <v>0</v>
      </c>
      <c r="G8" s="92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2:12" s="78" customFormat="1" ht="14.25" x14ac:dyDescent="0.2">
      <c r="B9" s="89" t="s">
        <v>27</v>
      </c>
      <c r="C9" s="90" t="s">
        <v>28</v>
      </c>
      <c r="D9" s="91">
        <f>869489.72+2619.26-45032.7</f>
        <v>827076.28</v>
      </c>
      <c r="E9" s="91" t="s">
        <v>20</v>
      </c>
      <c r="F9" s="91">
        <v>0</v>
      </c>
      <c r="G9" s="92">
        <f>D9+E9+F9</f>
        <v>827076.28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2:12" s="78" customFormat="1" ht="14.25" x14ac:dyDescent="0.2">
      <c r="B10" s="89" t="s">
        <v>29</v>
      </c>
      <c r="C10" s="90" t="s">
        <v>30</v>
      </c>
      <c r="D10" s="91">
        <f>1085156+7588.4+352353.98+193331.19</f>
        <v>1638429.5699999998</v>
      </c>
      <c r="E10" s="91" t="s">
        <v>20</v>
      </c>
      <c r="F10" s="91" t="s">
        <v>20</v>
      </c>
      <c r="G10" s="92">
        <f>D10+E10+F10</f>
        <v>1638429.5699999998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2:12" s="78" customFormat="1" ht="14.25" x14ac:dyDescent="0.2">
      <c r="B11" s="89" t="s">
        <v>33</v>
      </c>
      <c r="C11" s="90" t="s">
        <v>34</v>
      </c>
      <c r="D11" s="91">
        <v>0</v>
      </c>
      <c r="E11" s="91" t="s">
        <v>20</v>
      </c>
      <c r="F11" s="91" t="s">
        <v>20</v>
      </c>
      <c r="G11" s="92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2:12" s="78" customFormat="1" ht="28.5" x14ac:dyDescent="0.2">
      <c r="B12" s="93"/>
      <c r="C12" s="94" t="s">
        <v>35</v>
      </c>
      <c r="D12" s="95">
        <f t="shared" ref="D12:K12" si="1">SUM(D7:D11)</f>
        <v>2517927.75</v>
      </c>
      <c r="E12" s="95">
        <f t="shared" si="1"/>
        <v>0</v>
      </c>
      <c r="F12" s="95">
        <f t="shared" si="1"/>
        <v>0</v>
      </c>
      <c r="G12" s="95">
        <f t="shared" si="1"/>
        <v>2517927.75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2:12" s="78" customFormat="1" ht="14.25" x14ac:dyDescent="0.2">
      <c r="C13" s="96"/>
    </row>
    <row r="14" spans="2:12" s="78" customFormat="1" ht="28.5" x14ac:dyDescent="0.2">
      <c r="B14" s="85" t="s">
        <v>25</v>
      </c>
      <c r="C14" s="86" t="s">
        <v>36</v>
      </c>
      <c r="D14" s="87" t="s">
        <v>85</v>
      </c>
      <c r="E14" s="87" t="s">
        <v>86</v>
      </c>
      <c r="F14" s="87" t="s">
        <v>87</v>
      </c>
      <c r="G14" s="88"/>
      <c r="H14" s="88"/>
      <c r="I14" s="88"/>
      <c r="J14" s="88"/>
      <c r="K14" s="88"/>
      <c r="L14" s="88"/>
    </row>
    <row r="15" spans="2:12" s="78" customFormat="1" ht="14.25" x14ac:dyDescent="0.2">
      <c r="B15" s="89" t="s">
        <v>17</v>
      </c>
      <c r="C15" s="90" t="s">
        <v>38</v>
      </c>
      <c r="D15" s="91">
        <v>0</v>
      </c>
      <c r="E15" s="91">
        <v>0</v>
      </c>
      <c r="F15" s="91" t="s">
        <v>20</v>
      </c>
      <c r="G15" s="92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2:12" s="78" customFormat="1" ht="14.25" x14ac:dyDescent="0.2">
      <c r="B16" s="89" t="s">
        <v>21</v>
      </c>
      <c r="C16" s="90" t="s">
        <v>39</v>
      </c>
      <c r="D16" s="206">
        <f>75000+2000</f>
        <v>77000</v>
      </c>
      <c r="E16" s="91" t="s">
        <v>20</v>
      </c>
      <c r="F16" s="91" t="s">
        <v>20</v>
      </c>
      <c r="G16" s="92">
        <f>D16+E16+F16</f>
        <v>77000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2:12" s="78" customFormat="1" ht="28.5" x14ac:dyDescent="0.2">
      <c r="B17" s="93"/>
      <c r="C17" s="94" t="s">
        <v>40</v>
      </c>
      <c r="D17" s="95">
        <f t="shared" ref="D17:K17" si="2">SUM(D15:D16)</f>
        <v>77000</v>
      </c>
      <c r="E17" s="95">
        <f t="shared" si="2"/>
        <v>0</v>
      </c>
      <c r="F17" s="95">
        <f t="shared" si="2"/>
        <v>0</v>
      </c>
      <c r="G17" s="95">
        <f t="shared" si="2"/>
        <v>77000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2:12" s="78" customFormat="1" ht="15" x14ac:dyDescent="0.2">
      <c r="B18" s="195"/>
      <c r="C18" s="196"/>
      <c r="D18" s="197" t="s">
        <v>88</v>
      </c>
      <c r="E18" s="197"/>
      <c r="F18" s="197"/>
      <c r="G18" s="197"/>
      <c r="H18" s="197"/>
      <c r="I18" s="197"/>
      <c r="J18" s="197"/>
      <c r="K18" s="197"/>
      <c r="L18" s="197"/>
    </row>
    <row r="19" spans="2:12" s="78" customFormat="1" ht="28.5" x14ac:dyDescent="0.2">
      <c r="B19" s="85" t="s">
        <v>46</v>
      </c>
      <c r="C19" s="86" t="s">
        <v>47</v>
      </c>
      <c r="D19" s="87" t="s">
        <v>85</v>
      </c>
      <c r="E19" s="87" t="s">
        <v>86</v>
      </c>
      <c r="F19" s="87" t="s">
        <v>87</v>
      </c>
      <c r="G19" s="88"/>
      <c r="H19" s="88"/>
      <c r="I19" s="88"/>
      <c r="J19" s="88"/>
      <c r="K19" s="88"/>
      <c r="L19" s="88"/>
    </row>
    <row r="20" spans="2:12" s="78" customFormat="1" ht="14.25" x14ac:dyDescent="0.2">
      <c r="B20" s="89" t="s">
        <v>29</v>
      </c>
      <c r="C20" s="90" t="s">
        <v>254</v>
      </c>
      <c r="D20" s="91">
        <v>0</v>
      </c>
      <c r="E20" s="91">
        <f>550000-28227</f>
        <v>521773</v>
      </c>
      <c r="F20" s="91" t="s">
        <v>20</v>
      </c>
      <c r="G20" s="92">
        <f>D20+E20+F20</f>
        <v>521773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2:12" s="78" customFormat="1" ht="28.5" x14ac:dyDescent="0.2">
      <c r="B21" s="93"/>
      <c r="C21" s="94" t="s">
        <v>51</v>
      </c>
      <c r="D21" s="95">
        <f t="shared" ref="D21:K21" si="3">SUM(D20:D20)</f>
        <v>0</v>
      </c>
      <c r="E21" s="95">
        <f t="shared" si="3"/>
        <v>521773</v>
      </c>
      <c r="F21" s="95">
        <f t="shared" si="3"/>
        <v>0</v>
      </c>
      <c r="G21" s="95">
        <f t="shared" si="3"/>
        <v>521773</v>
      </c>
      <c r="H21" s="95">
        <f t="shared" si="3"/>
        <v>0</v>
      </c>
      <c r="I21" s="95">
        <f t="shared" si="3"/>
        <v>0</v>
      </c>
      <c r="J21" s="95">
        <f t="shared" si="3"/>
        <v>0</v>
      </c>
      <c r="K21" s="95">
        <f t="shared" si="3"/>
        <v>0</v>
      </c>
      <c r="L21" s="95">
        <f>K21+J21+I21+H21</f>
        <v>0</v>
      </c>
    </row>
    <row r="22" spans="2:12" s="78" customFormat="1" ht="14.25" x14ac:dyDescent="0.2">
      <c r="C22" s="96"/>
    </row>
    <row r="23" spans="2:12" s="78" customFormat="1" ht="14.25" x14ac:dyDescent="0.2">
      <c r="B23" s="85" t="s">
        <v>56</v>
      </c>
      <c r="C23" s="86" t="s">
        <v>57</v>
      </c>
      <c r="D23" s="198"/>
      <c r="E23" s="198"/>
      <c r="F23" s="198"/>
      <c r="G23" s="199"/>
      <c r="H23" s="199"/>
      <c r="I23" s="199"/>
      <c r="J23" s="199"/>
      <c r="K23" s="199"/>
      <c r="L23" s="199"/>
    </row>
    <row r="24" spans="2:12" s="78" customFormat="1" ht="14.25" x14ac:dyDescent="0.2">
      <c r="B24" s="89" t="s">
        <v>17</v>
      </c>
      <c r="C24" s="90" t="s">
        <v>255</v>
      </c>
      <c r="D24" s="91" t="s">
        <v>20</v>
      </c>
      <c r="E24" s="91">
        <f>300000-61769</f>
        <v>238231</v>
      </c>
      <c r="F24" s="91">
        <v>0</v>
      </c>
      <c r="G24" s="92">
        <f>D24+E24+F24</f>
        <v>238231</v>
      </c>
      <c r="H24" s="92">
        <v>0</v>
      </c>
      <c r="I24" s="92">
        <v>0</v>
      </c>
      <c r="J24" s="92">
        <v>0</v>
      </c>
      <c r="K24" s="92">
        <v>0</v>
      </c>
      <c r="L24" s="92">
        <f>K24+J24+I24+H24</f>
        <v>0</v>
      </c>
    </row>
    <row r="25" spans="2:12" s="78" customFormat="1" ht="14.25" x14ac:dyDescent="0.2">
      <c r="B25" s="89" t="s">
        <v>21</v>
      </c>
      <c r="C25" s="90" t="s">
        <v>248</v>
      </c>
      <c r="D25" s="91" t="s">
        <v>20</v>
      </c>
      <c r="E25" s="91">
        <v>0</v>
      </c>
      <c r="F25" s="91">
        <v>0</v>
      </c>
      <c r="G25" s="92">
        <f>D25+E25+F25</f>
        <v>0</v>
      </c>
      <c r="H25" s="92">
        <v>0</v>
      </c>
      <c r="I25" s="92">
        <v>0</v>
      </c>
      <c r="J25" s="92">
        <v>0</v>
      </c>
      <c r="K25" s="92">
        <v>0</v>
      </c>
      <c r="L25" s="92">
        <f>K25+J25+I25+H25</f>
        <v>0</v>
      </c>
    </row>
    <row r="26" spans="2:12" s="78" customFormat="1" ht="15" x14ac:dyDescent="0.2">
      <c r="B26" s="93"/>
      <c r="C26" s="94" t="s">
        <v>60</v>
      </c>
      <c r="D26" s="95">
        <f>SUM(D24:D25)</f>
        <v>0</v>
      </c>
      <c r="E26" s="95">
        <f t="shared" ref="E26:L26" si="4">SUM(E24:E25)</f>
        <v>238231</v>
      </c>
      <c r="F26" s="95">
        <f t="shared" si="4"/>
        <v>0</v>
      </c>
      <c r="G26" s="95">
        <f t="shared" si="4"/>
        <v>238231</v>
      </c>
      <c r="H26" s="95">
        <f t="shared" si="4"/>
        <v>0</v>
      </c>
      <c r="I26" s="95">
        <f t="shared" si="4"/>
        <v>0</v>
      </c>
      <c r="J26" s="95">
        <f t="shared" si="4"/>
        <v>0</v>
      </c>
      <c r="K26" s="95">
        <f t="shared" si="4"/>
        <v>0</v>
      </c>
      <c r="L26" s="95">
        <f t="shared" si="4"/>
        <v>0</v>
      </c>
    </row>
    <row r="27" spans="2:12" s="78" customFormat="1" ht="14.25" x14ac:dyDescent="0.2">
      <c r="C27" s="96"/>
    </row>
    <row r="28" spans="2:12" s="78" customFormat="1" ht="14.25" x14ac:dyDescent="0.2">
      <c r="B28" s="85" t="s">
        <v>72</v>
      </c>
      <c r="C28" s="86" t="s">
        <v>73</v>
      </c>
      <c r="D28" s="87" t="s">
        <v>85</v>
      </c>
      <c r="E28" s="87" t="s">
        <v>86</v>
      </c>
      <c r="F28" s="87" t="s">
        <v>87</v>
      </c>
      <c r="G28" s="88"/>
      <c r="H28" s="88"/>
      <c r="I28" s="88"/>
      <c r="J28" s="88"/>
      <c r="K28" s="88"/>
      <c r="L28" s="88"/>
    </row>
    <row r="29" spans="2:12" s="78" customFormat="1" ht="14.25" x14ac:dyDescent="0.2">
      <c r="B29" s="89" t="s">
        <v>23</v>
      </c>
      <c r="C29" s="90" t="s">
        <v>77</v>
      </c>
      <c r="D29" s="91" t="s">
        <v>20</v>
      </c>
      <c r="E29" s="91" t="s">
        <v>20</v>
      </c>
      <c r="F29" s="91">
        <f>35000+850000-850000+196458.28+998366.56+88175.16</f>
        <v>1318000</v>
      </c>
      <c r="G29" s="92">
        <f>D29+E29+F29</f>
        <v>1318000</v>
      </c>
      <c r="H29" s="92">
        <v>0</v>
      </c>
      <c r="I29" s="92">
        <v>0</v>
      </c>
      <c r="J29" s="92">
        <v>0</v>
      </c>
      <c r="K29" s="92">
        <v>0</v>
      </c>
      <c r="L29" s="92">
        <f>K29+J29+I29+H29</f>
        <v>0</v>
      </c>
    </row>
    <row r="30" spans="2:12" s="78" customFormat="1" ht="15" x14ac:dyDescent="0.2">
      <c r="B30" s="93"/>
      <c r="C30" s="94" t="s">
        <v>78</v>
      </c>
      <c r="D30" s="95">
        <f t="shared" ref="D30:K30" si="5">SUM(D29)</f>
        <v>0</v>
      </c>
      <c r="E30" s="95">
        <f t="shared" si="5"/>
        <v>0</v>
      </c>
      <c r="F30" s="95">
        <f t="shared" si="5"/>
        <v>1318000</v>
      </c>
      <c r="G30" s="95">
        <f t="shared" si="5"/>
        <v>1318000</v>
      </c>
      <c r="H30" s="95">
        <f t="shared" si="5"/>
        <v>0</v>
      </c>
      <c r="I30" s="95">
        <f t="shared" si="5"/>
        <v>0</v>
      </c>
      <c r="J30" s="95">
        <f t="shared" si="5"/>
        <v>0</v>
      </c>
      <c r="K30" s="95">
        <f t="shared" si="5"/>
        <v>0</v>
      </c>
      <c r="L30" s="95">
        <f>K30+J30+I30+H30</f>
        <v>0</v>
      </c>
    </row>
    <row r="31" spans="2:12" s="78" customFormat="1" ht="14.25" x14ac:dyDescent="0.2">
      <c r="C31" s="96"/>
    </row>
    <row r="32" spans="2:12" s="78" customFormat="1" ht="15" x14ac:dyDescent="0.2">
      <c r="B32" s="282" t="s">
        <v>79</v>
      </c>
      <c r="C32" s="283"/>
      <c r="D32" s="97">
        <f>D30+D17+D12+D26+D21</f>
        <v>2594927.75</v>
      </c>
      <c r="E32" s="97">
        <f t="shared" ref="E32:L32" si="6">E30+E17+E12+E26+E21</f>
        <v>760004</v>
      </c>
      <c r="F32" s="97">
        <f t="shared" si="6"/>
        <v>1318000</v>
      </c>
      <c r="G32" s="97">
        <f t="shared" si="6"/>
        <v>4672931.75</v>
      </c>
      <c r="H32" s="97">
        <f t="shared" si="6"/>
        <v>0</v>
      </c>
      <c r="I32" s="97">
        <f t="shared" si="6"/>
        <v>0</v>
      </c>
      <c r="J32" s="97">
        <f t="shared" si="6"/>
        <v>0</v>
      </c>
      <c r="K32" s="97">
        <f t="shared" si="6"/>
        <v>0</v>
      </c>
      <c r="L32" s="97">
        <f t="shared" si="6"/>
        <v>0</v>
      </c>
    </row>
    <row r="34" spans="4:8" x14ac:dyDescent="0.2">
      <c r="D34" s="99"/>
      <c r="E34" s="99"/>
      <c r="F34" s="99"/>
      <c r="G34" s="99"/>
      <c r="H34" s="99"/>
    </row>
    <row r="35" spans="4:8" x14ac:dyDescent="0.2">
      <c r="D35" s="99"/>
      <c r="E35" s="99"/>
      <c r="F35" s="99"/>
      <c r="G35" s="99"/>
      <c r="H35" s="99"/>
    </row>
    <row r="45" spans="4:8" x14ac:dyDescent="0.2">
      <c r="G45" s="98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26"/>
  <sheetViews>
    <sheetView zoomScaleNormal="100" zoomScaleSheetLayoutView="100" workbookViewId="0">
      <selection activeCell="D12" sqref="D12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284" t="s">
        <v>237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88</v>
      </c>
      <c r="M2" s="101"/>
    </row>
    <row r="3" spans="1:14" s="107" customFormat="1" ht="75" x14ac:dyDescent="0.2">
      <c r="B3" s="285" t="s">
        <v>0</v>
      </c>
      <c r="C3" s="286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287"/>
      <c r="C4" s="288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34500</v>
      </c>
      <c r="E7" s="123" t="s">
        <v>20</v>
      </c>
      <c r="F7" s="123" t="s">
        <v>20</v>
      </c>
      <c r="G7" s="124">
        <f>D7+E7+F7</f>
        <v>34500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173530</v>
      </c>
      <c r="E9" s="123" t="s">
        <v>20</v>
      </c>
      <c r="F9" s="123">
        <v>0</v>
      </c>
      <c r="G9" s="124">
        <f>D9+E9+F9</f>
        <v>173530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995156</v>
      </c>
      <c r="E10" s="123" t="s">
        <v>20</v>
      </c>
      <c r="F10" s="123" t="s">
        <v>20</v>
      </c>
      <c r="G10" s="124">
        <f>D10+E10+F10</f>
        <v>995156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1203186</v>
      </c>
      <c r="E12" s="128">
        <f t="shared" si="1"/>
        <v>0</v>
      </c>
      <c r="F12" s="128">
        <f t="shared" si="1"/>
        <v>0</v>
      </c>
      <c r="G12" s="128">
        <f t="shared" si="1"/>
        <v>1203186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5">
        <v>0</v>
      </c>
      <c r="E16" s="123">
        <v>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4" s="107" customFormat="1" ht="25.5" x14ac:dyDescent="0.2">
      <c r="A17" s="113" t="s">
        <v>37</v>
      </c>
      <c r="B17" s="126"/>
      <c r="C17" s="127" t="s">
        <v>40</v>
      </c>
      <c r="D17" s="128">
        <f>SUM(D15:D16)</f>
        <v>0</v>
      </c>
      <c r="E17" s="128">
        <f>SUM(E14:E15)</f>
        <v>0</v>
      </c>
      <c r="F17" s="128" t="s">
        <v>20</v>
      </c>
      <c r="G17" s="128">
        <f>SUM(G13:G16)</f>
        <v>0</v>
      </c>
      <c r="H17" s="95">
        <f>SUM(H15:H16)</f>
        <v>0</v>
      </c>
      <c r="I17" s="95">
        <f>SUM(I15:I16)</f>
        <v>0</v>
      </c>
      <c r="J17" s="95">
        <f>SUM(J15:J16)</f>
        <v>0</v>
      </c>
      <c r="K17" s="95">
        <f>SUM(K15:K16)</f>
        <v>0</v>
      </c>
      <c r="L17" s="95">
        <f>K17+J17+I17+H17</f>
        <v>0</v>
      </c>
      <c r="N17" s="107" t="s">
        <v>88</v>
      </c>
    </row>
    <row r="18" spans="1:14" s="107" customFormat="1" ht="14.25" x14ac:dyDescent="0.2">
      <c r="C18" s="129"/>
      <c r="H18" s="78"/>
      <c r="I18" s="78"/>
      <c r="J18" s="78"/>
      <c r="K18" s="78"/>
      <c r="L18" s="78"/>
    </row>
    <row r="19" spans="1:14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4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35000</v>
      </c>
      <c r="G20" s="124">
        <f>D20+E20+F20</f>
        <v>35000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4" s="107" customFormat="1" ht="15" x14ac:dyDescent="0.2">
      <c r="A21" s="113" t="s">
        <v>74</v>
      </c>
      <c r="B21" s="126"/>
      <c r="C21" s="127" t="s">
        <v>78</v>
      </c>
      <c r="D21" s="130">
        <f t="shared" ref="D21:K21" si="2">SUM(D20)</f>
        <v>0</v>
      </c>
      <c r="E21" s="130">
        <f t="shared" si="2"/>
        <v>0</v>
      </c>
      <c r="F21" s="130">
        <f t="shared" si="2"/>
        <v>35000</v>
      </c>
      <c r="G21" s="130">
        <f t="shared" si="2"/>
        <v>35000</v>
      </c>
      <c r="H21" s="95">
        <f t="shared" si="2"/>
        <v>0</v>
      </c>
      <c r="I21" s="95">
        <f t="shared" si="2"/>
        <v>0</v>
      </c>
      <c r="J21" s="95">
        <f t="shared" si="2"/>
        <v>0</v>
      </c>
      <c r="K21" s="95">
        <f t="shared" si="2"/>
        <v>0</v>
      </c>
      <c r="L21" s="95">
        <f>K21+J21+I21+H21</f>
        <v>0</v>
      </c>
    </row>
    <row r="22" spans="1:14" s="107" customFormat="1" ht="14.25" x14ac:dyDescent="0.2">
      <c r="C22" s="129"/>
      <c r="H22" s="78"/>
      <c r="I22" s="78"/>
      <c r="J22" s="78"/>
      <c r="K22" s="78"/>
      <c r="L22" s="78"/>
    </row>
    <row r="23" spans="1:14" s="107" customFormat="1" ht="15" x14ac:dyDescent="0.2">
      <c r="A23" s="115"/>
      <c r="B23" s="289" t="s">
        <v>79</v>
      </c>
      <c r="C23" s="290"/>
      <c r="D23" s="131">
        <f t="shared" ref="D23:L23" si="3">D21+D17+D12</f>
        <v>1203186</v>
      </c>
      <c r="E23" s="131">
        <f t="shared" si="3"/>
        <v>0</v>
      </c>
      <c r="F23" s="131">
        <f t="shared" si="3"/>
        <v>35000</v>
      </c>
      <c r="G23" s="131">
        <f t="shared" si="3"/>
        <v>1238186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4" x14ac:dyDescent="0.2">
      <c r="H25" s="99"/>
    </row>
    <row r="26" spans="1:14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26"/>
  <sheetViews>
    <sheetView zoomScale="90" zoomScaleNormal="90" zoomScaleSheetLayoutView="100" workbookViewId="0">
      <selection sqref="A1:IV65536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284" t="s">
        <v>252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80</v>
      </c>
      <c r="M2" s="101"/>
    </row>
    <row r="3" spans="1:14" s="107" customFormat="1" ht="75" x14ac:dyDescent="0.2">
      <c r="B3" s="285" t="s">
        <v>0</v>
      </c>
      <c r="C3" s="286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287"/>
      <c r="C4" s="288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34500</v>
      </c>
      <c r="E7" s="123" t="s">
        <v>20</v>
      </c>
      <c r="F7" s="123" t="s">
        <v>20</v>
      </c>
      <c r="G7" s="124">
        <f>D7+E7+F7</f>
        <v>34500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173530</v>
      </c>
      <c r="E9" s="123" t="s">
        <v>20</v>
      </c>
      <c r="F9" s="123">
        <v>0</v>
      </c>
      <c r="G9" s="124">
        <f>D9+E9+F9</f>
        <v>173530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490000</v>
      </c>
      <c r="E10" s="123" t="s">
        <v>20</v>
      </c>
      <c r="F10" s="123" t="s">
        <v>20</v>
      </c>
      <c r="G10" s="124">
        <f>D10+E10+F10</f>
        <v>490000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698030</v>
      </c>
      <c r="E12" s="128">
        <f t="shared" si="1"/>
        <v>0</v>
      </c>
      <c r="F12" s="128">
        <f t="shared" si="1"/>
        <v>0</v>
      </c>
      <c r="G12" s="128">
        <f t="shared" si="1"/>
        <v>698030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5">
        <v>0</v>
      </c>
      <c r="E16" s="123" t="s">
        <v>20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2" s="107" customFormat="1" ht="25.5" x14ac:dyDescent="0.2">
      <c r="A17" s="113" t="s">
        <v>37</v>
      </c>
      <c r="B17" s="126"/>
      <c r="C17" s="127" t="s">
        <v>40</v>
      </c>
      <c r="D17" s="128">
        <f t="shared" ref="D17:K17" si="2">SUM(D15:D16)</f>
        <v>0</v>
      </c>
      <c r="E17" s="128">
        <f t="shared" si="2"/>
        <v>0</v>
      </c>
      <c r="F17" s="128">
        <f t="shared" si="2"/>
        <v>0</v>
      </c>
      <c r="G17" s="128">
        <f t="shared" si="2"/>
        <v>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1:12" s="107" customFormat="1" ht="14.25" x14ac:dyDescent="0.2">
      <c r="C18" s="129"/>
      <c r="H18" s="78"/>
      <c r="I18" s="78"/>
      <c r="J18" s="78"/>
      <c r="K18" s="78"/>
      <c r="L18" s="78"/>
    </row>
    <row r="19" spans="1:12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2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35000</v>
      </c>
      <c r="G20" s="124">
        <v>35000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2" s="107" customFormat="1" ht="15" x14ac:dyDescent="0.2">
      <c r="A21" s="113" t="s">
        <v>74</v>
      </c>
      <c r="B21" s="126"/>
      <c r="C21" s="127" t="s">
        <v>78</v>
      </c>
      <c r="D21" s="128">
        <f>SUM(D19:D20)</f>
        <v>0</v>
      </c>
      <c r="E21" s="128">
        <f>SUM(E19:E20)</f>
        <v>0</v>
      </c>
      <c r="F21" s="128">
        <f>SUM(F19:F20)</f>
        <v>35000</v>
      </c>
      <c r="G21" s="128">
        <f>SUM(G19:G20)</f>
        <v>35000</v>
      </c>
      <c r="H21" s="95">
        <f>SUM(H20)</f>
        <v>0</v>
      </c>
      <c r="I21" s="95">
        <f>SUM(I20)</f>
        <v>0</v>
      </c>
      <c r="J21" s="95">
        <f>SUM(J20)</f>
        <v>0</v>
      </c>
      <c r="K21" s="95">
        <f>SUM(K20)</f>
        <v>0</v>
      </c>
      <c r="L21" s="95">
        <f>K21+J21+I21+H21</f>
        <v>0</v>
      </c>
    </row>
    <row r="22" spans="1:12" s="107" customFormat="1" ht="14.25" x14ac:dyDescent="0.2">
      <c r="C22" s="129"/>
      <c r="H22" s="78"/>
      <c r="I22" s="78"/>
      <c r="J22" s="78"/>
      <c r="K22" s="78"/>
      <c r="L22" s="78"/>
    </row>
    <row r="23" spans="1:12" s="107" customFormat="1" ht="15" x14ac:dyDescent="0.2">
      <c r="A23" s="115"/>
      <c r="B23" s="289" t="s">
        <v>79</v>
      </c>
      <c r="C23" s="290"/>
      <c r="D23" s="131">
        <f t="shared" ref="D23:L23" si="3">D21+D17+D12</f>
        <v>698030</v>
      </c>
      <c r="E23" s="131">
        <f t="shared" si="3"/>
        <v>0</v>
      </c>
      <c r="F23" s="131">
        <f t="shared" si="3"/>
        <v>35000</v>
      </c>
      <c r="G23" s="131">
        <f t="shared" si="3"/>
        <v>733030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2" x14ac:dyDescent="0.2">
      <c r="H25" s="99"/>
    </row>
    <row r="26" spans="1:12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F8" sqref="F8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293" t="s">
        <v>231</v>
      </c>
      <c r="C1" s="294"/>
      <c r="D1" s="294"/>
      <c r="E1" s="294"/>
      <c r="F1" s="294"/>
      <c r="G1" s="133"/>
    </row>
    <row r="2" spans="1:7" s="49" customFormat="1" ht="15" customHeight="1" x14ac:dyDescent="0.15"/>
    <row r="3" spans="1:7" s="134" customFormat="1" ht="29.25" customHeight="1" x14ac:dyDescent="0.2">
      <c r="B3" s="291" t="s">
        <v>0</v>
      </c>
      <c r="C3" s="291"/>
      <c r="D3" s="135" t="s">
        <v>193</v>
      </c>
      <c r="E3" s="135" t="s">
        <v>195</v>
      </c>
      <c r="F3" s="213" t="s">
        <v>8</v>
      </c>
    </row>
    <row r="4" spans="1:7" s="134" customFormat="1" ht="18" customHeight="1" x14ac:dyDescent="0.2">
      <c r="B4" s="291"/>
      <c r="C4" s="291"/>
      <c r="D4" s="213" t="s">
        <v>202</v>
      </c>
      <c r="E4" s="213" t="s">
        <v>201</v>
      </c>
      <c r="F4" s="213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" customHeight="1" x14ac:dyDescent="0.2">
      <c r="B7" s="144" t="s">
        <v>17</v>
      </c>
      <c r="C7" s="145" t="s">
        <v>200</v>
      </c>
      <c r="D7" s="146">
        <f>6559942.21+80000-20000</f>
        <v>6619942.21</v>
      </c>
      <c r="E7" s="146">
        <f>22000+70000+20000</f>
        <v>112000</v>
      </c>
      <c r="F7" s="146">
        <f>D7+E7</f>
        <v>6731942.21</v>
      </c>
    </row>
    <row r="8" spans="1:7" s="134" customFormat="1" ht="24" customHeight="1" x14ac:dyDescent="0.2">
      <c r="B8" s="147"/>
      <c r="C8" s="148" t="s">
        <v>199</v>
      </c>
      <c r="D8" s="149">
        <f>SUM(D7)</f>
        <v>6619942.21</v>
      </c>
      <c r="E8" s="149">
        <f>SUM(E7)</f>
        <v>112000</v>
      </c>
      <c r="F8" s="149">
        <f>SUM(F7)</f>
        <v>6731942.21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292" t="s">
        <v>79</v>
      </c>
      <c r="C11" s="292"/>
      <c r="D11" s="152">
        <f>D8</f>
        <v>6619942.21</v>
      </c>
      <c r="E11" s="152">
        <f>E8</f>
        <v>112000</v>
      </c>
      <c r="F11" s="152">
        <f>F8</f>
        <v>6731942.21</v>
      </c>
    </row>
    <row r="16" spans="1:7" x14ac:dyDescent="0.2">
      <c r="D16" s="50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2023</vt:lpstr>
      <vt:lpstr>Macro CORRENTI 2024</vt:lpstr>
      <vt:lpstr>Macro CORRENTI 2025</vt:lpstr>
      <vt:lpstr>Macro CAPITALE 2023</vt:lpstr>
      <vt:lpstr>Macro CAPITALE 2024</vt:lpstr>
      <vt:lpstr>Macro CAPITALE 2025</vt:lpstr>
      <vt:lpstr>Macro Partite di giro 2023</vt:lpstr>
      <vt:lpstr>Macro Partite di giro 2024</vt:lpstr>
      <vt:lpstr>Macro Partite di giro  2025</vt:lpstr>
      <vt:lpstr>' Macro CORRENTI 2023'!Area_stampa</vt:lpstr>
      <vt:lpstr>'Entrate per categoria'!Area_stampa</vt:lpstr>
      <vt:lpstr>'Macro CAPITALE 2023'!Area_stampa</vt:lpstr>
      <vt:lpstr>'Macro CAPITALE 2024'!Area_stampa</vt:lpstr>
      <vt:lpstr>'Macro CAPITALE 2025'!Area_stampa</vt:lpstr>
      <vt:lpstr>'Macro CORRENTI 2024'!Area_stampa</vt:lpstr>
      <vt:lpstr>'Macro CORRENTI 2025'!Area_stampa</vt:lpstr>
      <vt:lpstr>'Macro Partite di giro  2025'!Area_stampa</vt:lpstr>
      <vt:lpstr>'Macro Partite di giro 2023'!Area_stampa</vt:lpstr>
      <vt:lpstr>'Macro Partite di giro 2024'!Area_stampa</vt:lpstr>
      <vt:lpstr>'Riepilogo SPESE '!Area_stampa</vt:lpstr>
      <vt:lpstr>' Macro CORRENTI 2023'!Titoli_stampa</vt:lpstr>
      <vt:lpstr>'Entrate per categoria'!Titoli_stampa</vt:lpstr>
      <vt:lpstr>'Macro CORRENTI 2024'!Titoli_stampa</vt:lpstr>
      <vt:lpstr>'Macro CORRENTI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2023-11-24T10:25:41Z</cp:lastPrinted>
  <dcterms:created xsi:type="dcterms:W3CDTF">2020-12-14T13:36:05Z</dcterms:created>
  <dcterms:modified xsi:type="dcterms:W3CDTF">2023-12-19T08:10:04Z</dcterms:modified>
</cp:coreProperties>
</file>