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.nenci\Desktop\DEL_UP_85_2024\"/>
    </mc:Choice>
  </mc:AlternateContent>
  <xr:revisionPtr revIDLastSave="0" documentId="8_{AE2598DC-637C-412D-A159-96A273B416F7}" xr6:coauthVersionLast="47" xr6:coauthVersionMax="47" xr10:uidLastSave="{00000000-0000-0000-0000-000000000000}"/>
  <bookViews>
    <workbookView xWindow="-120" yWindow="-120" windowWidth="29040" windowHeight="15840" tabRatio="877" xr2:uid="{11D5FFD7-90E3-4615-A6E9-9DA89EC124C0}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F39" i="7" l="1"/>
  <c r="F38" i="7"/>
  <c r="F35" i="7"/>
  <c r="F28" i="7"/>
  <c r="F13" i="7"/>
  <c r="F8" i="7"/>
  <c r="D16" i="4"/>
  <c r="D10" i="4"/>
  <c r="D9" i="4"/>
  <c r="G9" i="4"/>
  <c r="D7" i="4"/>
  <c r="F11" i="3"/>
  <c r="F14" i="3"/>
  <c r="F6" i="3"/>
  <c r="E6" i="3"/>
  <c r="F11" i="2"/>
  <c r="F6" i="2"/>
  <c r="K6" i="2"/>
  <c r="E6" i="2"/>
  <c r="F50" i="1"/>
  <c r="J67" i="1"/>
  <c r="K67" i="1"/>
  <c r="G22" i="1"/>
  <c r="F22" i="1"/>
  <c r="G13" i="1"/>
  <c r="I12" i="1"/>
  <c r="F12" i="1"/>
  <c r="E12" i="1"/>
  <c r="F11" i="1"/>
  <c r="F10" i="1"/>
  <c r="E9" i="1"/>
  <c r="J8" i="1"/>
  <c r="F8" i="1"/>
  <c r="K8" i="1"/>
  <c r="E8" i="1"/>
  <c r="D8" i="1"/>
  <c r="G6" i="1"/>
  <c r="G14" i="1"/>
  <c r="F6" i="1"/>
  <c r="E6" i="1"/>
  <c r="F11" i="8"/>
  <c r="E11" i="8"/>
  <c r="D18" i="8"/>
  <c r="F48" i="3"/>
  <c r="F51" i="3"/>
  <c r="F52" i="2"/>
  <c r="F8" i="3"/>
  <c r="F8" i="2"/>
  <c r="D8" i="3"/>
  <c r="K8" i="3"/>
  <c r="D8" i="2"/>
  <c r="G52" i="1"/>
  <c r="G53" i="1"/>
  <c r="F52" i="1"/>
  <c r="F14" i="8"/>
  <c r="F18" i="8"/>
  <c r="G6" i="3"/>
  <c r="G14" i="3"/>
  <c r="E14" i="8"/>
  <c r="E18" i="8"/>
  <c r="G6" i="2"/>
  <c r="G14" i="2"/>
  <c r="K22" i="1"/>
  <c r="H45" i="7"/>
  <c r="G45" i="7"/>
  <c r="F45" i="7"/>
  <c r="H37" i="7"/>
  <c r="H41" i="7"/>
  <c r="H71" i="7"/>
  <c r="H73" i="7"/>
  <c r="G37" i="7"/>
  <c r="G41" i="7"/>
  <c r="F37" i="7"/>
  <c r="F17" i="7"/>
  <c r="F53" i="1"/>
  <c r="D23" i="8"/>
  <c r="D24" i="8"/>
  <c r="D39" i="8"/>
  <c r="D41" i="8"/>
  <c r="D22" i="8"/>
  <c r="F29" i="4"/>
  <c r="F30" i="4"/>
  <c r="G44" i="1"/>
  <c r="G47" i="1"/>
  <c r="E13" i="1"/>
  <c r="F13" i="1"/>
  <c r="F15" i="7"/>
  <c r="F12" i="7"/>
  <c r="F23" i="7"/>
  <c r="G20" i="6"/>
  <c r="G21" i="6"/>
  <c r="E8" i="11"/>
  <c r="E11" i="11"/>
  <c r="D8" i="11"/>
  <c r="E51" i="3"/>
  <c r="E69" i="3"/>
  <c r="G51" i="3"/>
  <c r="H51" i="3"/>
  <c r="I51" i="3"/>
  <c r="J51" i="3"/>
  <c r="D51" i="3"/>
  <c r="K48" i="3"/>
  <c r="K51" i="3"/>
  <c r="H65" i="7"/>
  <c r="G65" i="7"/>
  <c r="G69" i="7"/>
  <c r="F65" i="7"/>
  <c r="F69" i="7"/>
  <c r="H59" i="7"/>
  <c r="G59" i="7"/>
  <c r="F59" i="7"/>
  <c r="H34" i="7"/>
  <c r="G34" i="7"/>
  <c r="F34" i="7"/>
  <c r="H27" i="7"/>
  <c r="G27" i="7"/>
  <c r="F27" i="7"/>
  <c r="F23" i="2"/>
  <c r="K22" i="2"/>
  <c r="G23" i="2"/>
  <c r="E8" i="10"/>
  <c r="E11" i="10"/>
  <c r="D8" i="10"/>
  <c r="D11" i="10"/>
  <c r="D37" i="8"/>
  <c r="K50" i="3"/>
  <c r="G23" i="3"/>
  <c r="G59" i="3"/>
  <c r="G60" i="3"/>
  <c r="E60" i="3"/>
  <c r="F60" i="3"/>
  <c r="H60" i="3"/>
  <c r="H69" i="3"/>
  <c r="I60" i="3"/>
  <c r="J60" i="3"/>
  <c r="D60" i="3"/>
  <c r="K58" i="3"/>
  <c r="K60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K44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K23" i="1"/>
  <c r="D12" i="1"/>
  <c r="K11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G10" i="4"/>
  <c r="F55" i="2"/>
  <c r="K12" i="3"/>
  <c r="I14" i="3"/>
  <c r="I1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E74" i="2"/>
  <c r="D12" i="6"/>
  <c r="G10" i="6"/>
  <c r="G10" i="5"/>
  <c r="F24" i="8"/>
  <c r="E24" i="8"/>
  <c r="L25" i="4"/>
  <c r="L26" i="4"/>
  <c r="G25" i="4"/>
  <c r="E28" i="1"/>
  <c r="F28" i="1"/>
  <c r="G28" i="1"/>
  <c r="H28" i="1"/>
  <c r="I28" i="1"/>
  <c r="J28" i="1"/>
  <c r="K28" i="1"/>
  <c r="D28" i="1"/>
  <c r="K27" i="1"/>
  <c r="D18" i="1"/>
  <c r="J18" i="1"/>
  <c r="I18" i="1"/>
  <c r="H18" i="1"/>
  <c r="G18" i="1"/>
  <c r="E18" i="1"/>
  <c r="K18" i="1"/>
  <c r="K17" i="1"/>
  <c r="F20" i="7"/>
  <c r="E17" i="5"/>
  <c r="F55" i="7"/>
  <c r="E17" i="4"/>
  <c r="D17" i="4"/>
  <c r="K66" i="3"/>
  <c r="J71" i="2"/>
  <c r="K65" i="1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E32" i="4"/>
  <c r="D30" i="4"/>
  <c r="F17" i="4"/>
  <c r="G16" i="4"/>
  <c r="E12" i="4"/>
  <c r="E67" i="3"/>
  <c r="F67" i="3"/>
  <c r="G67" i="3"/>
  <c r="H67" i="3"/>
  <c r="I67" i="3"/>
  <c r="D67" i="3"/>
  <c r="E38" i="3"/>
  <c r="F38" i="3"/>
  <c r="K38" i="3"/>
  <c r="G38" i="3"/>
  <c r="H38" i="3"/>
  <c r="I38" i="3"/>
  <c r="J38" i="3"/>
  <c r="D38" i="3"/>
  <c r="E34" i="3"/>
  <c r="F34" i="3"/>
  <c r="K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E14" i="3"/>
  <c r="H14" i="3"/>
  <c r="J14" i="3"/>
  <c r="K7" i="3"/>
  <c r="K9" i="3"/>
  <c r="K10" i="3"/>
  <c r="K13" i="3"/>
  <c r="K21" i="3"/>
  <c r="K32" i="3"/>
  <c r="K33" i="3"/>
  <c r="K37" i="3"/>
  <c r="K49" i="3"/>
  <c r="K59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I71" i="1"/>
  <c r="I79" i="1"/>
  <c r="J37" i="1"/>
  <c r="D37" i="1"/>
  <c r="K37" i="1"/>
  <c r="E41" i="1"/>
  <c r="F41" i="1"/>
  <c r="H41" i="1"/>
  <c r="I41" i="1"/>
  <c r="J41" i="1"/>
  <c r="K41" i="1"/>
  <c r="D41" i="1"/>
  <c r="E68" i="1"/>
  <c r="F68" i="1"/>
  <c r="G68" i="1"/>
  <c r="H68" i="1"/>
  <c r="H71" i="1"/>
  <c r="H79" i="1"/>
  <c r="I68" i="1"/>
  <c r="D68" i="1"/>
  <c r="E71" i="2"/>
  <c r="F71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F23" i="5"/>
  <c r="K51" i="1"/>
  <c r="G15" i="4"/>
  <c r="G17" i="4"/>
  <c r="K64" i="3"/>
  <c r="F18" i="1"/>
  <c r="K40" i="1"/>
  <c r="D12" i="5"/>
  <c r="L17" i="6"/>
  <c r="J14" i="1"/>
  <c r="J67" i="3"/>
  <c r="J69" i="3"/>
  <c r="K67" i="3"/>
  <c r="K46" i="1"/>
  <c r="E26" i="4"/>
  <c r="F7" i="10"/>
  <c r="F8" i="10"/>
  <c r="F11" i="10"/>
  <c r="K32" i="4"/>
  <c r="D14" i="1"/>
  <c r="K54" i="2"/>
  <c r="K12" i="2"/>
  <c r="K71" i="2"/>
  <c r="H69" i="7"/>
  <c r="I69" i="3"/>
  <c r="K43" i="3"/>
  <c r="K12" i="1"/>
  <c r="J68" i="1"/>
  <c r="K68" i="1"/>
  <c r="K52" i="1"/>
  <c r="K8" i="2"/>
  <c r="G71" i="7"/>
  <c r="G73" i="7"/>
  <c r="L32" i="4"/>
  <c r="G23" i="6"/>
  <c r="D12" i="4"/>
  <c r="D32" i="4"/>
  <c r="L12" i="6"/>
  <c r="L23" i="6"/>
  <c r="K23" i="6"/>
  <c r="K44" i="1"/>
  <c r="K47" i="1"/>
  <c r="K6" i="3"/>
  <c r="J32" i="4"/>
  <c r="K36" i="1"/>
  <c r="K55" i="2"/>
  <c r="F23" i="1"/>
  <c r="D14" i="3"/>
  <c r="K14" i="3"/>
  <c r="F14" i="1"/>
  <c r="F71" i="1"/>
  <c r="F79" i="1"/>
  <c r="D71" i="1"/>
  <c r="D79" i="1"/>
  <c r="J23" i="5"/>
  <c r="K6" i="1"/>
  <c r="E14" i="1"/>
  <c r="E71" i="1"/>
  <c r="E79" i="1"/>
  <c r="F41" i="7"/>
  <c r="F71" i="7"/>
  <c r="F73" i="7"/>
  <c r="G12" i="4"/>
  <c r="G32" i="4"/>
  <c r="F14" i="2"/>
  <c r="F74" i="2"/>
  <c r="J71" i="1"/>
  <c r="J79" i="1"/>
  <c r="G71" i="1"/>
  <c r="G79" i="1"/>
  <c r="K14" i="1"/>
  <c r="K14" i="2"/>
  <c r="K74" i="2"/>
  <c r="M14" i="1"/>
  <c r="K71" i="1"/>
  <c r="K79" i="1"/>
  <c r="K69" i="3"/>
  <c r="F69" i="3"/>
  <c r="G69" i="3"/>
  <c r="D69" i="3"/>
  <c r="K11" i="3"/>
  <c r="E39" i="8"/>
  <c r="E41" i="8"/>
</calcChain>
</file>

<file path=xl/sharedStrings.xml><?xml version="1.0" encoding="utf-8"?>
<sst xmlns="http://schemas.openxmlformats.org/spreadsheetml/2006/main" count="1668" uniqueCount="261">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</sst>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" fillId="4" borderId="22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3" fillId="3" borderId="22" xfId="0" applyNumberFormat="1" applyFont="1" applyFill="1" applyBorder="1" applyAlignment="1">
      <alignment horizontal="righ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 xr:uid="{9783F956-C586-42AF-A6B7-0397961023A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F0E4-114A-4548-8053-D95CDD96F426}">
  <sheetPr>
    <tabColor rgb="FF92D050"/>
  </sheetPr>
  <dimension ref="A1:K85"/>
  <sheetViews>
    <sheetView tabSelected="1" topLeftCell="A8" zoomScale="90" zoomScaleNormal="90" zoomScaleSheetLayoutView="90" workbookViewId="0">
      <selection activeCell="E78" sqref="E78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G1" s="6" t="s">
        <v>88</v>
      </c>
      <c r="H1" s="17" t="s">
        <v>260</v>
      </c>
    </row>
    <row r="2" spans="1:10" s="3" customFormat="1" ht="30" customHeight="1" x14ac:dyDescent="0.2">
      <c r="C2" s="275" t="s">
        <v>205</v>
      </c>
      <c r="D2" s="275"/>
      <c r="E2" s="275"/>
      <c r="F2" s="275"/>
      <c r="G2" s="275"/>
      <c r="H2" s="275"/>
    </row>
    <row r="3" spans="1:10" s="3" customFormat="1" ht="54.75" customHeight="1" x14ac:dyDescent="0.2">
      <c r="A3" s="166"/>
      <c r="B3" s="166"/>
      <c r="C3" s="167" t="s">
        <v>206</v>
      </c>
      <c r="D3" s="167"/>
      <c r="E3" s="168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6"/>
      <c r="B4" s="166"/>
      <c r="C4" s="167"/>
      <c r="D4" s="167"/>
      <c r="E4" s="168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">
      <c r="E5" s="169"/>
      <c r="H5" s="8"/>
    </row>
    <row r="6" spans="1:10" s="3" customFormat="1" x14ac:dyDescent="0.2">
      <c r="A6" s="170"/>
      <c r="B6" s="170"/>
      <c r="C6" s="281" t="s">
        <v>88</v>
      </c>
      <c r="D6" s="281"/>
      <c r="E6" s="171" t="s">
        <v>90</v>
      </c>
      <c r="F6" s="199">
        <v>200029.65</v>
      </c>
      <c r="G6" s="199">
        <v>0</v>
      </c>
      <c r="H6" s="30">
        <v>0</v>
      </c>
    </row>
    <row r="7" spans="1:10" s="3" customFormat="1" x14ac:dyDescent="0.2">
      <c r="C7" s="282"/>
      <c r="D7" s="282"/>
      <c r="E7" s="172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">
      <c r="C8" s="283"/>
      <c r="D8" s="283"/>
      <c r="E8" s="173" t="s">
        <v>234</v>
      </c>
      <c r="F8" s="206">
        <f>5334952.82+1948768.25</f>
        <v>7283721.0700000003</v>
      </c>
      <c r="G8" s="15"/>
      <c r="H8" s="16"/>
    </row>
    <row r="9" spans="1:10" s="3" customFormat="1" x14ac:dyDescent="0.2">
      <c r="E9" s="169"/>
      <c r="G9" s="10"/>
      <c r="H9" s="8"/>
    </row>
    <row r="10" spans="1:10" s="3" customFormat="1" x14ac:dyDescent="0.2">
      <c r="A10" s="277"/>
      <c r="B10" s="277"/>
      <c r="C10" s="174"/>
      <c r="D10" s="174"/>
      <c r="E10" s="175" t="s">
        <v>92</v>
      </c>
      <c r="F10" s="28"/>
      <c r="G10" s="11"/>
      <c r="H10" s="11"/>
    </row>
    <row r="11" spans="1:10" s="3" customFormat="1" x14ac:dyDescent="0.2">
      <c r="A11" s="277"/>
      <c r="B11" s="277"/>
      <c r="C11" s="176"/>
      <c r="D11" s="176"/>
      <c r="E11" s="177"/>
      <c r="F11" s="29"/>
      <c r="G11" s="12"/>
      <c r="H11" s="12"/>
    </row>
    <row r="12" spans="1:10" s="3" customFormat="1" x14ac:dyDescent="0.2">
      <c r="A12" s="277"/>
      <c r="B12" s="277"/>
      <c r="C12" s="178" t="s">
        <v>93</v>
      </c>
      <c r="D12" s="178"/>
      <c r="E12" s="179" t="s">
        <v>94</v>
      </c>
      <c r="F12" s="33">
        <f>F13+F14+F15</f>
        <v>22915716.809999999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">
      <c r="A13" s="280" t="s">
        <v>95</v>
      </c>
      <c r="B13" s="280"/>
      <c r="C13" s="180" t="s">
        <v>96</v>
      </c>
      <c r="D13" s="180"/>
      <c r="E13" s="181" t="s">
        <v>97</v>
      </c>
      <c r="F13" s="34">
        <f>167031.31+23815.5</f>
        <v>190846.81</v>
      </c>
      <c r="G13" s="35">
        <v>167031.31</v>
      </c>
      <c r="H13" s="253">
        <v>167031.31</v>
      </c>
    </row>
    <row r="14" spans="1:10" s="3" customFormat="1" x14ac:dyDescent="0.2">
      <c r="A14" s="278"/>
      <c r="B14" s="278"/>
      <c r="C14" s="180" t="s">
        <v>98</v>
      </c>
      <c r="D14" s="180"/>
      <c r="E14" s="181" t="s">
        <v>99</v>
      </c>
      <c r="F14" s="254">
        <v>14500</v>
      </c>
      <c r="G14" s="253">
        <v>12500</v>
      </c>
      <c r="H14" s="253">
        <v>12500</v>
      </c>
    </row>
    <row r="15" spans="1:10" s="3" customFormat="1" x14ac:dyDescent="0.2">
      <c r="A15" s="278"/>
      <c r="B15" s="278"/>
      <c r="C15" s="180" t="s">
        <v>100</v>
      </c>
      <c r="D15" s="180"/>
      <c r="E15" s="181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">
      <c r="A16" s="260"/>
      <c r="B16" s="260"/>
      <c r="C16" s="180"/>
      <c r="D16" s="180"/>
      <c r="E16" s="181"/>
      <c r="F16" s="34"/>
      <c r="G16" s="35"/>
      <c r="H16" s="35"/>
    </row>
    <row r="17" spans="1:8" s="3" customFormat="1" x14ac:dyDescent="0.2">
      <c r="A17" s="277"/>
      <c r="B17" s="277"/>
      <c r="C17" s="178" t="s">
        <v>256</v>
      </c>
      <c r="D17" s="178"/>
      <c r="E17" s="179" t="s">
        <v>257</v>
      </c>
      <c r="F17" s="257">
        <f>SUM(F18)</f>
        <v>15000</v>
      </c>
      <c r="G17" s="258">
        <v>0</v>
      </c>
      <c r="H17" s="258">
        <v>0</v>
      </c>
    </row>
    <row r="18" spans="1:8" s="3" customFormat="1" x14ac:dyDescent="0.2">
      <c r="A18" s="278"/>
      <c r="B18" s="278"/>
      <c r="C18" s="180" t="s">
        <v>258</v>
      </c>
      <c r="D18" s="180"/>
      <c r="E18" s="181" t="s">
        <v>259</v>
      </c>
      <c r="F18" s="254">
        <v>15000</v>
      </c>
      <c r="G18" s="253">
        <v>0</v>
      </c>
      <c r="H18" s="253">
        <v>0</v>
      </c>
    </row>
    <row r="19" spans="1:8" s="3" customFormat="1" x14ac:dyDescent="0.2">
      <c r="A19" s="276"/>
      <c r="B19" s="276"/>
      <c r="C19" s="182"/>
      <c r="D19" s="182"/>
      <c r="E19" s="183"/>
      <c r="F19" s="255"/>
      <c r="G19" s="256"/>
      <c r="H19" s="256"/>
    </row>
    <row r="20" spans="1:8" s="3" customFormat="1" x14ac:dyDescent="0.2">
      <c r="A20" s="277"/>
      <c r="B20" s="277"/>
      <c r="C20" s="178" t="s">
        <v>102</v>
      </c>
      <c r="D20" s="178"/>
      <c r="E20" s="179" t="s">
        <v>103</v>
      </c>
      <c r="F20" s="257">
        <f>SUM(F21)</f>
        <v>5500</v>
      </c>
      <c r="G20" s="258">
        <v>0</v>
      </c>
      <c r="H20" s="258">
        <v>0</v>
      </c>
    </row>
    <row r="21" spans="1:8" s="3" customFormat="1" x14ac:dyDescent="0.2">
      <c r="A21" s="278"/>
      <c r="B21" s="278"/>
      <c r="C21" s="180" t="s">
        <v>104</v>
      </c>
      <c r="D21" s="180"/>
      <c r="E21" s="181" t="s">
        <v>105</v>
      </c>
      <c r="F21" s="254">
        <v>5500</v>
      </c>
      <c r="G21" s="253">
        <v>0</v>
      </c>
      <c r="H21" s="253">
        <v>0</v>
      </c>
    </row>
    <row r="22" spans="1:8" s="3" customFormat="1" x14ac:dyDescent="0.2">
      <c r="A22" s="276"/>
      <c r="B22" s="276"/>
      <c r="C22" s="182"/>
      <c r="D22" s="182"/>
      <c r="E22" s="183"/>
      <c r="F22" s="37"/>
      <c r="G22" s="38"/>
      <c r="H22" s="38"/>
    </row>
    <row r="23" spans="1:8" s="3" customFormat="1" x14ac:dyDescent="0.2">
      <c r="A23" s="278"/>
      <c r="B23" s="278"/>
      <c r="C23" s="184" t="s">
        <v>95</v>
      </c>
      <c r="D23" s="184"/>
      <c r="E23" s="185" t="s">
        <v>106</v>
      </c>
      <c r="F23" s="41">
        <f>F20+F12+F17</f>
        <v>22936216.809999999</v>
      </c>
      <c r="G23" s="42">
        <f>G20+G12</f>
        <v>24944324.789999999</v>
      </c>
      <c r="H23" s="42">
        <f>H20+H12</f>
        <v>22827554.639999997</v>
      </c>
    </row>
    <row r="24" spans="1:8" s="3" customFormat="1" x14ac:dyDescent="0.2">
      <c r="A24" s="278"/>
      <c r="B24" s="278"/>
      <c r="E24" s="186"/>
      <c r="F24" s="4"/>
      <c r="G24" s="13"/>
      <c r="H24" s="8"/>
    </row>
    <row r="25" spans="1:8" s="3" customFormat="1" x14ac:dyDescent="0.2">
      <c r="A25" s="277"/>
      <c r="B25" s="277"/>
      <c r="C25" s="174"/>
      <c r="D25" s="174"/>
      <c r="E25" s="175" t="s">
        <v>107</v>
      </c>
      <c r="F25" s="28"/>
      <c r="G25" s="11"/>
      <c r="H25" s="11"/>
    </row>
    <row r="26" spans="1:8" s="3" customFormat="1" x14ac:dyDescent="0.2">
      <c r="A26" s="277"/>
      <c r="B26" s="277"/>
      <c r="C26" s="176"/>
      <c r="D26" s="176"/>
      <c r="E26" s="177"/>
      <c r="F26" s="29"/>
      <c r="G26" s="12"/>
      <c r="H26" s="12"/>
    </row>
    <row r="27" spans="1:8" s="3" customFormat="1" ht="25.5" x14ac:dyDescent="0.2">
      <c r="A27" s="277"/>
      <c r="B27" s="277"/>
      <c r="C27" s="178" t="s">
        <v>108</v>
      </c>
      <c r="D27" s="178"/>
      <c r="E27" s="179" t="s">
        <v>109</v>
      </c>
      <c r="F27" s="39">
        <f>F28+F29</f>
        <v>2701.4700000000003</v>
      </c>
      <c r="G27" s="40">
        <f>G28+G29</f>
        <v>2200</v>
      </c>
      <c r="H27" s="40">
        <f>H28+H29</f>
        <v>200</v>
      </c>
    </row>
    <row r="28" spans="1:8" s="3" customFormat="1" x14ac:dyDescent="0.2">
      <c r="A28" s="280" t="s">
        <v>110</v>
      </c>
      <c r="B28" s="280"/>
      <c r="C28" s="180" t="s">
        <v>111</v>
      </c>
      <c r="D28" s="180"/>
      <c r="E28" s="181" t="s">
        <v>112</v>
      </c>
      <c r="F28" s="36">
        <f>2200+501.47</f>
        <v>2701.4700000000003</v>
      </c>
      <c r="G28" s="31">
        <v>2200</v>
      </c>
      <c r="H28" s="31">
        <v>200</v>
      </c>
    </row>
    <row r="29" spans="1:8" s="3" customFormat="1" x14ac:dyDescent="0.2">
      <c r="A29" s="278"/>
      <c r="B29" s="278"/>
      <c r="C29" s="180" t="s">
        <v>113</v>
      </c>
      <c r="D29" s="180"/>
      <c r="E29" s="181" t="s">
        <v>114</v>
      </c>
      <c r="F29" s="36">
        <v>0</v>
      </c>
      <c r="G29" s="31">
        <v>0</v>
      </c>
      <c r="H29" s="31">
        <v>0</v>
      </c>
    </row>
    <row r="30" spans="1:8" s="3" customFormat="1" x14ac:dyDescent="0.2">
      <c r="A30" s="276"/>
      <c r="B30" s="276"/>
      <c r="C30" s="182"/>
      <c r="D30" s="182"/>
      <c r="E30" s="183"/>
      <c r="F30" s="37"/>
      <c r="G30" s="38"/>
      <c r="H30" s="38"/>
    </row>
    <row r="31" spans="1:8" s="3" customFormat="1" ht="25.5" x14ac:dyDescent="0.2">
      <c r="A31" s="277"/>
      <c r="B31" s="277"/>
      <c r="C31" s="178" t="s">
        <v>115</v>
      </c>
      <c r="D31" s="178"/>
      <c r="E31" s="179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.5" x14ac:dyDescent="0.2">
      <c r="A32" s="278"/>
      <c r="B32" s="278"/>
      <c r="C32" s="180" t="s">
        <v>117</v>
      </c>
      <c r="D32" s="180"/>
      <c r="E32" s="181" t="s">
        <v>118</v>
      </c>
      <c r="F32" s="36">
        <v>100</v>
      </c>
      <c r="G32" s="31">
        <v>100</v>
      </c>
      <c r="H32" s="31">
        <v>100</v>
      </c>
    </row>
    <row r="33" spans="1:11" s="3" customFormat="1" x14ac:dyDescent="0.2">
      <c r="A33" s="276"/>
      <c r="B33" s="276"/>
      <c r="C33" s="182"/>
      <c r="D33" s="182"/>
      <c r="E33" s="183"/>
      <c r="F33" s="37"/>
      <c r="G33" s="38"/>
      <c r="H33" s="38"/>
    </row>
    <row r="34" spans="1:11" s="3" customFormat="1" x14ac:dyDescent="0.2">
      <c r="A34" s="277"/>
      <c r="B34" s="277"/>
      <c r="C34" s="178" t="s">
        <v>119</v>
      </c>
      <c r="D34" s="178"/>
      <c r="E34" s="179" t="s">
        <v>120</v>
      </c>
      <c r="F34" s="39">
        <f>F35</f>
        <v>252613.58000000002</v>
      </c>
      <c r="G34" s="39">
        <f>G35</f>
        <v>50020</v>
      </c>
      <c r="H34" s="39">
        <f>H35</f>
        <v>10020</v>
      </c>
    </row>
    <row r="35" spans="1:11" s="3" customFormat="1" x14ac:dyDescent="0.2">
      <c r="A35" s="278"/>
      <c r="B35" s="278"/>
      <c r="C35" s="180" t="s">
        <v>121</v>
      </c>
      <c r="D35" s="180"/>
      <c r="E35" s="181" t="s">
        <v>122</v>
      </c>
      <c r="F35" s="36">
        <f>217020+35593.58</f>
        <v>252613.58000000002</v>
      </c>
      <c r="G35" s="31">
        <v>50020</v>
      </c>
      <c r="H35" s="31">
        <v>10020</v>
      </c>
    </row>
    <row r="36" spans="1:11" s="3" customFormat="1" x14ac:dyDescent="0.2">
      <c r="A36" s="276"/>
      <c r="B36" s="276"/>
      <c r="C36" s="182"/>
      <c r="D36" s="182"/>
      <c r="E36" s="183"/>
      <c r="F36" s="37"/>
      <c r="G36" s="38"/>
      <c r="H36" s="38"/>
    </row>
    <row r="37" spans="1:11" s="3" customFormat="1" x14ac:dyDescent="0.2">
      <c r="A37" s="277"/>
      <c r="B37" s="277"/>
      <c r="C37" s="178" t="s">
        <v>123</v>
      </c>
      <c r="D37" s="178"/>
      <c r="E37" s="179" t="s">
        <v>124</v>
      </c>
      <c r="F37" s="33">
        <f>F39+F38</f>
        <v>312800.96000000002</v>
      </c>
      <c r="G37" s="33">
        <f>G39+G38</f>
        <v>261638.5</v>
      </c>
      <c r="H37" s="33">
        <f>H39+H38</f>
        <v>269538.5</v>
      </c>
    </row>
    <row r="38" spans="1:11" s="3" customFormat="1" x14ac:dyDescent="0.2">
      <c r="A38" s="278"/>
      <c r="B38" s="278"/>
      <c r="C38" s="180" t="s">
        <v>125</v>
      </c>
      <c r="D38" s="180"/>
      <c r="E38" s="181" t="s">
        <v>126</v>
      </c>
      <c r="F38" s="34">
        <f>242178.01+48194.95</f>
        <v>290372.96000000002</v>
      </c>
      <c r="G38" s="35">
        <v>237820.5</v>
      </c>
      <c r="H38" s="35">
        <v>247820.5</v>
      </c>
      <c r="J38" s="3" t="s">
        <v>88</v>
      </c>
      <c r="K38" s="187" t="s">
        <v>88</v>
      </c>
    </row>
    <row r="39" spans="1:11" s="3" customFormat="1" x14ac:dyDescent="0.2">
      <c r="A39" s="278"/>
      <c r="B39" s="278"/>
      <c r="C39" s="180" t="s">
        <v>127</v>
      </c>
      <c r="D39" s="180"/>
      <c r="E39" s="181" t="s">
        <v>128</v>
      </c>
      <c r="F39" s="34">
        <f>22918+3300-3790</f>
        <v>22428</v>
      </c>
      <c r="G39" s="35">
        <v>23818</v>
      </c>
      <c r="H39" s="35">
        <v>21718</v>
      </c>
    </row>
    <row r="40" spans="1:11" s="3" customFormat="1" x14ac:dyDescent="0.2">
      <c r="A40" s="276"/>
      <c r="B40" s="276"/>
      <c r="C40" s="182"/>
      <c r="D40" s="182"/>
      <c r="E40" s="183"/>
      <c r="F40" s="37"/>
      <c r="G40" s="38"/>
      <c r="H40" s="38"/>
    </row>
    <row r="41" spans="1:11" s="3" customFormat="1" x14ac:dyDescent="0.2">
      <c r="A41" s="278"/>
      <c r="B41" s="278"/>
      <c r="C41" s="184" t="s">
        <v>110</v>
      </c>
      <c r="D41" s="184"/>
      <c r="E41" s="185" t="s">
        <v>129</v>
      </c>
      <c r="F41" s="41">
        <f>F37+F34+F31+F27</f>
        <v>568216.01</v>
      </c>
      <c r="G41" s="42">
        <f>G37+G34+G31+G27</f>
        <v>313958.5</v>
      </c>
      <c r="H41" s="42">
        <f>H37+H34+H31+H27</f>
        <v>279858.5</v>
      </c>
    </row>
    <row r="42" spans="1:11" s="3" customFormat="1" x14ac:dyDescent="0.2">
      <c r="A42" s="278"/>
      <c r="B42" s="278"/>
      <c r="E42" s="186"/>
      <c r="F42" s="4"/>
      <c r="G42" s="13"/>
      <c r="H42" s="8"/>
    </row>
    <row r="43" spans="1:11" s="3" customFormat="1" x14ac:dyDescent="0.2">
      <c r="A43" s="277"/>
      <c r="B43" s="277"/>
      <c r="C43" s="174"/>
      <c r="D43" s="174"/>
      <c r="E43" s="175" t="s">
        <v>130</v>
      </c>
      <c r="F43" s="28"/>
      <c r="G43" s="11"/>
      <c r="H43" s="11"/>
    </row>
    <row r="44" spans="1:11" s="3" customFormat="1" x14ac:dyDescent="0.2">
      <c r="A44" s="277"/>
      <c r="B44" s="277"/>
      <c r="C44" s="176"/>
      <c r="D44" s="176"/>
      <c r="E44" s="177"/>
      <c r="F44" s="29"/>
      <c r="G44" s="12"/>
      <c r="H44" s="12"/>
    </row>
    <row r="45" spans="1:11" s="3" customFormat="1" x14ac:dyDescent="0.2">
      <c r="A45" s="277"/>
      <c r="B45" s="277"/>
      <c r="C45" s="178" t="s">
        <v>131</v>
      </c>
      <c r="D45" s="178"/>
      <c r="E45" s="179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">
      <c r="A46" s="280" t="s">
        <v>133</v>
      </c>
      <c r="B46" s="280"/>
      <c r="C46" s="180" t="s">
        <v>134</v>
      </c>
      <c r="D46" s="180"/>
      <c r="E46" s="181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x14ac:dyDescent="0.2">
      <c r="A47" s="276"/>
      <c r="B47" s="276"/>
      <c r="C47" s="182"/>
      <c r="D47" s="182"/>
      <c r="E47" s="183"/>
      <c r="F47" s="37"/>
      <c r="G47" s="38"/>
      <c r="H47" s="38"/>
    </row>
    <row r="48" spans="1:11" s="3" customFormat="1" x14ac:dyDescent="0.2">
      <c r="A48" s="277"/>
      <c r="B48" s="277"/>
      <c r="C48" s="178" t="s">
        <v>136</v>
      </c>
      <c r="D48" s="178"/>
      <c r="E48" s="179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">
      <c r="A49" s="278"/>
      <c r="B49" s="278"/>
      <c r="C49" s="180" t="s">
        <v>138</v>
      </c>
      <c r="D49" s="180"/>
      <c r="E49" s="181" t="s">
        <v>139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76"/>
      <c r="B50" s="276"/>
      <c r="C50" s="182"/>
      <c r="D50" s="182"/>
      <c r="E50" s="183"/>
      <c r="F50" s="37"/>
      <c r="G50" s="38"/>
      <c r="H50" s="38"/>
    </row>
    <row r="51" spans="1:8" s="3" customFormat="1" x14ac:dyDescent="0.2">
      <c r="A51" s="277"/>
      <c r="B51" s="277"/>
      <c r="C51" s="178" t="s">
        <v>140</v>
      </c>
      <c r="D51" s="178"/>
      <c r="E51" s="179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.5" x14ac:dyDescent="0.2">
      <c r="A52" s="278"/>
      <c r="B52" s="278"/>
      <c r="C52" s="180" t="s">
        <v>142</v>
      </c>
      <c r="D52" s="180"/>
      <c r="E52" s="181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">
      <c r="A53" s="278"/>
      <c r="B53" s="278"/>
      <c r="C53" s="180" t="s">
        <v>144</v>
      </c>
      <c r="D53" s="180"/>
      <c r="E53" s="181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x14ac:dyDescent="0.2">
      <c r="A54" s="276"/>
      <c r="B54" s="276"/>
      <c r="C54" s="182"/>
      <c r="D54" s="182"/>
      <c r="E54" s="183"/>
      <c r="F54" s="37"/>
      <c r="G54" s="38"/>
      <c r="H54" s="38"/>
    </row>
    <row r="55" spans="1:8" s="3" customFormat="1" x14ac:dyDescent="0.2">
      <c r="A55" s="278"/>
      <c r="B55" s="278"/>
      <c r="C55" s="184" t="s">
        <v>133</v>
      </c>
      <c r="D55" s="184"/>
      <c r="E55" s="185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x14ac:dyDescent="0.2">
      <c r="A56" s="277"/>
      <c r="B56" s="277"/>
      <c r="C56" s="174"/>
      <c r="D56" s="174"/>
      <c r="E56" s="175" t="s">
        <v>147</v>
      </c>
      <c r="F56" s="28"/>
      <c r="G56" s="11"/>
      <c r="H56" s="11"/>
    </row>
    <row r="57" spans="1:8" s="3" customFormat="1" x14ac:dyDescent="0.2">
      <c r="A57" s="207"/>
      <c r="B57" s="207"/>
      <c r="C57" s="176"/>
      <c r="D57" s="176"/>
      <c r="E57" s="188"/>
      <c r="F57" s="29"/>
      <c r="G57" s="12"/>
      <c r="H57" s="12"/>
    </row>
    <row r="58" spans="1:8" s="3" customFormat="1" x14ac:dyDescent="0.2">
      <c r="A58" s="277"/>
      <c r="B58" s="277"/>
      <c r="C58" s="176"/>
      <c r="D58" s="176"/>
      <c r="E58" s="177"/>
      <c r="F58" s="29"/>
      <c r="G58" s="12"/>
      <c r="H58" s="12"/>
    </row>
    <row r="59" spans="1:8" s="3" customFormat="1" x14ac:dyDescent="0.2">
      <c r="A59" s="277"/>
      <c r="B59" s="277"/>
      <c r="C59" s="178" t="s">
        <v>148</v>
      </c>
      <c r="D59" s="178"/>
      <c r="E59" s="179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">
      <c r="A60" s="280" t="s">
        <v>150</v>
      </c>
      <c r="B60" s="280"/>
      <c r="C60" s="180" t="s">
        <v>151</v>
      </c>
      <c r="D60" s="180"/>
      <c r="E60" s="181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">
      <c r="A61" s="278"/>
      <c r="B61" s="278"/>
      <c r="C61" s="180" t="s">
        <v>153</v>
      </c>
      <c r="D61" s="180"/>
      <c r="E61" s="181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">
      <c r="A62" s="278"/>
      <c r="B62" s="278"/>
      <c r="C62" s="180" t="s">
        <v>155</v>
      </c>
      <c r="D62" s="180"/>
      <c r="E62" s="181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">
      <c r="A63" s="278"/>
      <c r="B63" s="278"/>
      <c r="C63" s="180" t="s">
        <v>157</v>
      </c>
      <c r="D63" s="180"/>
      <c r="E63" s="181" t="s">
        <v>158</v>
      </c>
      <c r="F63" s="36">
        <v>110000</v>
      </c>
      <c r="G63" s="31">
        <v>110000</v>
      </c>
      <c r="H63" s="31">
        <v>110000</v>
      </c>
    </row>
    <row r="64" spans="1:8" s="3" customFormat="1" x14ac:dyDescent="0.2">
      <c r="A64" s="276"/>
      <c r="B64" s="276"/>
      <c r="C64" s="182"/>
      <c r="D64" s="182"/>
      <c r="E64" s="183"/>
      <c r="F64" s="37"/>
      <c r="G64" s="38"/>
      <c r="H64" s="38"/>
    </row>
    <row r="65" spans="1:11" s="3" customFormat="1" x14ac:dyDescent="0.2">
      <c r="A65" s="277"/>
      <c r="B65" s="277"/>
      <c r="C65" s="178" t="s">
        <v>159</v>
      </c>
      <c r="D65" s="178"/>
      <c r="E65" s="179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11" s="3" customFormat="1" x14ac:dyDescent="0.2">
      <c r="A66" s="278"/>
      <c r="B66" s="278"/>
      <c r="C66" s="180" t="s">
        <v>161</v>
      </c>
      <c r="D66" s="180"/>
      <c r="E66" s="181" t="s">
        <v>162</v>
      </c>
      <c r="F66" s="36">
        <v>82000</v>
      </c>
      <c r="G66" s="31">
        <v>82000</v>
      </c>
      <c r="H66" s="31">
        <v>82000</v>
      </c>
    </row>
    <row r="67" spans="1:11" s="3" customFormat="1" x14ac:dyDescent="0.2">
      <c r="A67" s="208"/>
      <c r="B67" s="208"/>
      <c r="C67" s="180" t="s">
        <v>235</v>
      </c>
      <c r="D67" s="180"/>
      <c r="E67" s="181" t="s">
        <v>236</v>
      </c>
      <c r="F67" s="36">
        <v>50000</v>
      </c>
      <c r="G67" s="31">
        <v>50000</v>
      </c>
      <c r="H67" s="31">
        <v>50000</v>
      </c>
    </row>
    <row r="68" spans="1:11" s="3" customFormat="1" x14ac:dyDescent="0.2">
      <c r="A68" s="276"/>
      <c r="B68" s="279"/>
      <c r="C68" s="182"/>
      <c r="D68" s="182"/>
      <c r="E68" s="183"/>
      <c r="F68" s="37"/>
      <c r="G68" s="38"/>
      <c r="H68" s="38"/>
    </row>
    <row r="69" spans="1:11" s="3" customFormat="1" x14ac:dyDescent="0.2">
      <c r="A69" s="278"/>
      <c r="B69" s="278"/>
      <c r="C69" s="184" t="s">
        <v>150</v>
      </c>
      <c r="D69" s="184"/>
      <c r="E69" s="185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11" s="3" customFormat="1" x14ac:dyDescent="0.2">
      <c r="A70" s="278"/>
      <c r="B70" s="278"/>
      <c r="E70" s="186"/>
      <c r="F70" s="4"/>
      <c r="G70" s="13"/>
      <c r="H70" s="8"/>
    </row>
    <row r="71" spans="1:11" s="3" customFormat="1" x14ac:dyDescent="0.2">
      <c r="A71" s="276"/>
      <c r="B71" s="276"/>
      <c r="C71" s="189"/>
      <c r="D71" s="189"/>
      <c r="E71" s="190" t="s">
        <v>164</v>
      </c>
      <c r="F71" s="43">
        <f>F69+F55+F41+F23</f>
        <v>30782062.82</v>
      </c>
      <c r="G71" s="44">
        <f>G69+G55+G41+G23</f>
        <v>31722854.119999997</v>
      </c>
      <c r="H71" s="45">
        <f>H69+H55+H41+H23</f>
        <v>29262589.809999995</v>
      </c>
    </row>
    <row r="72" spans="1:11" s="3" customFormat="1" x14ac:dyDescent="0.2">
      <c r="A72" s="276"/>
      <c r="B72" s="276"/>
      <c r="C72" s="191"/>
      <c r="D72" s="191"/>
      <c r="E72" s="192"/>
      <c r="F72" s="5"/>
      <c r="G72" s="14"/>
      <c r="H72" s="9"/>
    </row>
    <row r="73" spans="1:11" s="3" customFormat="1" x14ac:dyDescent="0.2">
      <c r="A73" s="276"/>
      <c r="B73" s="276"/>
      <c r="C73" s="189"/>
      <c r="D73" s="189"/>
      <c r="E73" s="190" t="s">
        <v>165</v>
      </c>
      <c r="F73" s="193">
        <f>F71+F8+F7+F6</f>
        <v>38830811.229999997</v>
      </c>
      <c r="G73" s="46">
        <f>G71+G8+G7+G6</f>
        <v>31722854.119999997</v>
      </c>
      <c r="H73" s="47">
        <f>H71+H8+H7+H6</f>
        <v>29262589.809999995</v>
      </c>
    </row>
    <row r="74" spans="1:11" x14ac:dyDescent="0.2">
      <c r="F74" s="200" t="s">
        <v>88</v>
      </c>
    </row>
    <row r="75" spans="1:11" x14ac:dyDescent="0.2">
      <c r="E75" s="201" t="s">
        <v>88</v>
      </c>
      <c r="F75" s="201" t="s">
        <v>88</v>
      </c>
      <c r="G75" s="201" t="s">
        <v>88</v>
      </c>
      <c r="H75" s="201" t="s">
        <v>88</v>
      </c>
      <c r="I75" s="201" t="s">
        <v>88</v>
      </c>
      <c r="J75" s="201" t="s">
        <v>88</v>
      </c>
    </row>
    <row r="76" spans="1:11" x14ac:dyDescent="0.2">
      <c r="F76" s="48"/>
      <c r="G76" s="48"/>
      <c r="H76" s="48"/>
      <c r="I76" s="48"/>
      <c r="J76" s="48"/>
      <c r="K76" s="48"/>
    </row>
    <row r="77" spans="1:11" x14ac:dyDescent="0.2">
      <c r="F77" s="200" t="s">
        <v>88</v>
      </c>
      <c r="G77" s="48"/>
      <c r="H77" s="48"/>
      <c r="I77" s="48"/>
    </row>
    <row r="78" spans="1:11" x14ac:dyDescent="0.2">
      <c r="F78" s="200" t="s">
        <v>88</v>
      </c>
      <c r="G78" s="48"/>
      <c r="H78" s="48"/>
      <c r="I78" s="48"/>
    </row>
    <row r="79" spans="1:11" x14ac:dyDescent="0.2">
      <c r="F79" s="200" t="s">
        <v>88</v>
      </c>
      <c r="G79" s="48"/>
      <c r="H79" s="48"/>
      <c r="I79" s="48"/>
    </row>
    <row r="80" spans="1:11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  <row r="83" spans="6:9" x14ac:dyDescent="0.2">
      <c r="F83" s="48"/>
      <c r="G83" s="48"/>
      <c r="H83" s="48"/>
      <c r="I83" s="48"/>
    </row>
    <row r="84" spans="6:9" x14ac:dyDescent="0.2">
      <c r="F84" s="48"/>
      <c r="G84" s="48"/>
      <c r="H84" s="48"/>
      <c r="I84" s="48"/>
    </row>
    <row r="85" spans="6:9" x14ac:dyDescent="0.2">
      <c r="F85" s="48"/>
      <c r="G85" s="48"/>
      <c r="H85" s="48"/>
      <c r="I85" s="48"/>
    </row>
  </sheetData>
  <mergeCells count="64">
    <mergeCell ref="C6:C8"/>
    <mergeCell ref="D6:D8"/>
    <mergeCell ref="A10:B10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17:B17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75C-49E3-4722-89EE-2FBBCDBDB4B3}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246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33" customHeight="1" x14ac:dyDescent="0.2">
      <c r="B3" s="304" t="s">
        <v>0</v>
      </c>
      <c r="C3" s="304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04"/>
      <c r="C4" s="304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5">
        <f>SUM(D7)</f>
        <v>5733500</v>
      </c>
      <c r="E8" s="165">
        <f>SUM(E7)</f>
        <v>132000</v>
      </c>
      <c r="F8" s="165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05" t="s">
        <v>79</v>
      </c>
      <c r="C11" s="305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AF80-3538-4C53-A02A-E8DC0EB5DDF5}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255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37.5" customHeight="1" x14ac:dyDescent="0.2">
      <c r="B3" s="304" t="s">
        <v>0</v>
      </c>
      <c r="C3" s="304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04"/>
      <c r="C4" s="304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5" t="s">
        <v>79</v>
      </c>
      <c r="C11" s="305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5E69-6A32-4336-8D47-3934BCC7E2CE}">
  <sheetPr>
    <tabColor rgb="FFFFFF00"/>
  </sheetPr>
  <dimension ref="A1:O41"/>
  <sheetViews>
    <sheetView topLeftCell="A8" zoomScaleNormal="100" zoomScaleSheetLayoutView="90" workbookViewId="0">
      <selection activeCell="A46" sqref="A46:IV46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9" style="6" customWidth="1"/>
    <col min="9" max="9" width="14.5703125" style="6" bestFit="1" customWidth="1"/>
    <col min="10" max="10" width="15.7109375" style="6" bestFit="1" customWidth="1"/>
    <col min="11" max="11" width="14.5703125" style="6" bestFit="1" customWidth="1"/>
    <col min="12" max="16384" width="8.85546875" style="6"/>
  </cols>
  <sheetData>
    <row r="1" spans="1:15" s="210" customFormat="1" ht="25.5" customHeight="1" x14ac:dyDescent="0.2">
      <c r="B1" s="286" t="s">
        <v>166</v>
      </c>
      <c r="C1" s="286"/>
      <c r="D1" s="286"/>
      <c r="E1" s="286"/>
      <c r="F1" s="286"/>
    </row>
    <row r="2" spans="1:15" s="210" customFormat="1" ht="15" customHeight="1" x14ac:dyDescent="0.15"/>
    <row r="3" spans="1:15" s="210" customFormat="1" ht="18" customHeight="1" x14ac:dyDescent="0.2">
      <c r="A3" s="211"/>
      <c r="B3" s="287" t="s">
        <v>167</v>
      </c>
      <c r="C3" s="287"/>
      <c r="D3" s="252" t="s">
        <v>233</v>
      </c>
      <c r="E3" s="252" t="s">
        <v>243</v>
      </c>
      <c r="F3" s="252" t="s">
        <v>252</v>
      </c>
    </row>
    <row r="4" spans="1:15" s="210" customFormat="1" ht="18" customHeight="1" x14ac:dyDescent="0.2">
      <c r="A4" s="211"/>
      <c r="B4" s="287"/>
      <c r="C4" s="287"/>
      <c r="D4" s="264" t="s">
        <v>8</v>
      </c>
      <c r="E4" s="264" t="s">
        <v>8</v>
      </c>
      <c r="F4" s="264" t="s">
        <v>8</v>
      </c>
    </row>
    <row r="5" spans="1:15" s="210" customFormat="1" ht="3" customHeight="1" x14ac:dyDescent="0.2">
      <c r="A5" s="212"/>
      <c r="B5" s="284"/>
      <c r="C5" s="284"/>
      <c r="D5" s="212"/>
      <c r="E5" s="212"/>
      <c r="F5" s="213"/>
    </row>
    <row r="6" spans="1:15" s="210" customFormat="1" ht="7.5" customHeight="1" x14ac:dyDescent="0.15">
      <c r="E6" s="210" t="s">
        <v>88</v>
      </c>
      <c r="F6" s="214"/>
    </row>
    <row r="7" spans="1:15" s="210" customFormat="1" ht="18" customHeight="1" x14ac:dyDescent="0.2">
      <c r="A7" s="211"/>
      <c r="B7" s="215"/>
      <c r="C7" s="216" t="s">
        <v>168</v>
      </c>
      <c r="D7" s="217">
        <v>0</v>
      </c>
      <c r="E7" s="217">
        <v>0</v>
      </c>
      <c r="F7" s="218">
        <v>0</v>
      </c>
    </row>
    <row r="8" spans="1:15" s="210" customFormat="1" ht="3" customHeight="1" x14ac:dyDescent="0.2">
      <c r="A8" s="212"/>
      <c r="B8" s="284"/>
      <c r="C8" s="284"/>
      <c r="D8" s="212"/>
      <c r="E8" s="212"/>
      <c r="F8" s="213"/>
    </row>
    <row r="9" spans="1:15" s="210" customFormat="1" ht="7.5" customHeight="1" x14ac:dyDescent="0.15">
      <c r="F9" s="214"/>
    </row>
    <row r="10" spans="1:15" s="210" customFormat="1" ht="15" customHeight="1" x14ac:dyDescent="0.2">
      <c r="A10" s="219" t="s">
        <v>169</v>
      </c>
      <c r="B10" s="220" t="s">
        <v>170</v>
      </c>
      <c r="C10" s="266" t="s">
        <v>171</v>
      </c>
      <c r="D10" s="221" t="s">
        <v>172</v>
      </c>
      <c r="E10" s="222" t="s">
        <v>173</v>
      </c>
      <c r="F10" s="220" t="s">
        <v>174</v>
      </c>
    </row>
    <row r="11" spans="1:15" s="210" customFormat="1" ht="15" customHeight="1" x14ac:dyDescent="0.2">
      <c r="A11" s="223" t="s">
        <v>175</v>
      </c>
      <c r="B11" s="224" t="s">
        <v>176</v>
      </c>
      <c r="C11" s="225" t="s">
        <v>1</v>
      </c>
      <c r="D11" s="226">
        <v>184818.57</v>
      </c>
      <c r="E11" s="227">
        <f>258380-35000</f>
        <v>223380</v>
      </c>
      <c r="F11" s="228">
        <f>259380-35000</f>
        <v>224380</v>
      </c>
      <c r="H11" s="237" t="s">
        <v>88</v>
      </c>
      <c r="I11" s="237" t="s">
        <v>88</v>
      </c>
      <c r="J11" s="237" t="s">
        <v>88</v>
      </c>
      <c r="K11" s="237" t="s">
        <v>88</v>
      </c>
      <c r="N11" s="229" t="s">
        <v>88</v>
      </c>
      <c r="O11" s="229" t="s">
        <v>88</v>
      </c>
    </row>
    <row r="12" spans="1:15" s="210" customFormat="1" ht="15" customHeight="1" x14ac:dyDescent="0.2">
      <c r="A12" s="212"/>
      <c r="B12" s="267" t="s">
        <v>177</v>
      </c>
      <c r="C12" s="268" t="s">
        <v>2</v>
      </c>
      <c r="D12" s="226">
        <v>1208245.1200000001</v>
      </c>
      <c r="E12" s="227">
        <v>1264117.21</v>
      </c>
      <c r="F12" s="228">
        <v>1216628.3399999999</v>
      </c>
    </row>
    <row r="13" spans="1:15" s="210" customFormat="1" ht="15" customHeight="1" x14ac:dyDescent="0.2">
      <c r="A13" s="212"/>
      <c r="B13" s="224" t="s">
        <v>178</v>
      </c>
      <c r="C13" s="225" t="s">
        <v>3</v>
      </c>
      <c r="D13" s="226">
        <v>19247554.630000003</v>
      </c>
      <c r="E13" s="227">
        <v>20751920.430000003</v>
      </c>
      <c r="F13" s="228">
        <v>18707873.490000002</v>
      </c>
    </row>
    <row r="14" spans="1:15" s="210" customFormat="1" ht="15" customHeight="1" x14ac:dyDescent="0.2">
      <c r="A14" s="212"/>
      <c r="B14" s="224" t="s">
        <v>179</v>
      </c>
      <c r="C14" s="225" t="s">
        <v>4</v>
      </c>
      <c r="D14" s="226">
        <v>3552210.4400000004</v>
      </c>
      <c r="E14" s="227">
        <f>2787770.24+7863.84</f>
        <v>2795634.08</v>
      </c>
      <c r="F14" s="228">
        <f>2727435.9+7863.84</f>
        <v>2735299.7399999998</v>
      </c>
      <c r="G14" s="230" t="s">
        <v>88</v>
      </c>
      <c r="H14" s="230" t="s">
        <v>88</v>
      </c>
    </row>
    <row r="15" spans="1:15" s="210" customFormat="1" ht="15" customHeight="1" x14ac:dyDescent="0.2">
      <c r="A15" s="212"/>
      <c r="B15" s="224" t="s">
        <v>180</v>
      </c>
      <c r="C15" s="225" t="s">
        <v>5</v>
      </c>
      <c r="D15" s="226">
        <v>500</v>
      </c>
      <c r="E15" s="227">
        <v>500</v>
      </c>
      <c r="F15" s="228">
        <v>500</v>
      </c>
    </row>
    <row r="16" spans="1:15" s="210" customFormat="1" ht="15" customHeight="1" x14ac:dyDescent="0.2">
      <c r="A16" s="212"/>
      <c r="B16" s="224" t="s">
        <v>181</v>
      </c>
      <c r="C16" s="225" t="s">
        <v>6</v>
      </c>
      <c r="D16" s="226">
        <v>85000.000000000015</v>
      </c>
      <c r="E16" s="227">
        <v>81676.070000000007</v>
      </c>
      <c r="F16" s="228">
        <v>81676.070000000007</v>
      </c>
    </row>
    <row r="17" spans="1:11" s="210" customFormat="1" ht="15" customHeight="1" x14ac:dyDescent="0.2">
      <c r="A17" s="212"/>
      <c r="B17" s="224" t="s">
        <v>182</v>
      </c>
      <c r="C17" s="225" t="s">
        <v>7</v>
      </c>
      <c r="D17" s="226">
        <v>5011533.6500000004</v>
      </c>
      <c r="E17" s="227">
        <v>141055.5</v>
      </c>
      <c r="F17" s="228">
        <v>141055.5</v>
      </c>
      <c r="H17" s="237" t="s">
        <v>88</v>
      </c>
      <c r="I17" s="237" t="s">
        <v>88</v>
      </c>
      <c r="J17" s="237" t="s">
        <v>88</v>
      </c>
      <c r="K17" s="237" t="s">
        <v>88</v>
      </c>
    </row>
    <row r="18" spans="1:11" s="210" customFormat="1" ht="15" customHeight="1" x14ac:dyDescent="0.2">
      <c r="A18" s="231" t="s">
        <v>16</v>
      </c>
      <c r="B18" s="232" t="s">
        <v>175</v>
      </c>
      <c r="C18" s="233" t="s">
        <v>183</v>
      </c>
      <c r="D18" s="234">
        <f>SUM(D11:D17)</f>
        <v>29289862.410000004</v>
      </c>
      <c r="E18" s="235">
        <f>SUM(E11:E17)</f>
        <v>25258283.290000007</v>
      </c>
      <c r="F18" s="236">
        <f>SUM(F11:F17)</f>
        <v>23107413.140000001</v>
      </c>
      <c r="G18" s="237" t="s">
        <v>88</v>
      </c>
    </row>
    <row r="19" spans="1:11" s="210" customFormat="1" ht="25.15" customHeight="1" x14ac:dyDescent="0.2">
      <c r="A19" s="238"/>
      <c r="B19" s="238"/>
      <c r="C19" s="238"/>
      <c r="D19" s="238"/>
      <c r="E19" s="238"/>
      <c r="F19" s="239"/>
    </row>
    <row r="20" spans="1:11" s="210" customFormat="1" ht="15" customHeight="1" x14ac:dyDescent="0.2">
      <c r="A20" s="219" t="s">
        <v>169</v>
      </c>
      <c r="B20" s="220" t="s">
        <v>170</v>
      </c>
      <c r="C20" s="220" t="s">
        <v>184</v>
      </c>
      <c r="D20" s="220" t="s">
        <v>172</v>
      </c>
      <c r="E20" s="220" t="s">
        <v>173</v>
      </c>
      <c r="F20" s="220" t="s">
        <v>174</v>
      </c>
    </row>
    <row r="21" spans="1:11" s="210" customFormat="1" ht="15" customHeight="1" x14ac:dyDescent="0.2">
      <c r="A21" s="223" t="s">
        <v>185</v>
      </c>
      <c r="B21" s="224" t="s">
        <v>186</v>
      </c>
      <c r="C21" s="240" t="s">
        <v>81</v>
      </c>
      <c r="D21" s="228">
        <v>2544448.8200000003</v>
      </c>
      <c r="E21" s="228">
        <v>564070.82999999996</v>
      </c>
      <c r="F21" s="228">
        <v>454976.67</v>
      </c>
    </row>
    <row r="22" spans="1:11" s="210" customFormat="1" ht="15" customHeight="1" x14ac:dyDescent="0.2">
      <c r="A22" s="212"/>
      <c r="B22" s="224" t="s">
        <v>187</v>
      </c>
      <c r="C22" s="240" t="s">
        <v>82</v>
      </c>
      <c r="D22" s="228">
        <f>5000+1300000</f>
        <v>1305000</v>
      </c>
      <c r="E22" s="228">
        <v>5000</v>
      </c>
      <c r="F22" s="228">
        <v>5000</v>
      </c>
      <c r="G22" s="210" t="s">
        <v>88</v>
      </c>
    </row>
    <row r="23" spans="1:11" s="210" customFormat="1" ht="15" customHeight="1" x14ac:dyDescent="0.2">
      <c r="A23" s="212"/>
      <c r="B23" s="224" t="s">
        <v>188</v>
      </c>
      <c r="C23" s="240" t="s">
        <v>83</v>
      </c>
      <c r="D23" s="228">
        <f>30000+1300000-1300000</f>
        <v>30000</v>
      </c>
      <c r="E23" s="228">
        <v>30000</v>
      </c>
      <c r="F23" s="228">
        <v>30000</v>
      </c>
    </row>
    <row r="24" spans="1:11" s="210" customFormat="1" ht="15" customHeight="1" x14ac:dyDescent="0.15">
      <c r="A24" s="231" t="s">
        <v>80</v>
      </c>
      <c r="B24" s="232" t="s">
        <v>185</v>
      </c>
      <c r="C24" s="241" t="s">
        <v>189</v>
      </c>
      <c r="D24" s="236">
        <f>SUM(D21:D23)</f>
        <v>3879448.8200000003</v>
      </c>
      <c r="E24" s="236">
        <f>SUM(E21:E23)</f>
        <v>599070.82999999996</v>
      </c>
      <c r="F24" s="236">
        <f>SUM(F21:F23)</f>
        <v>489976.67</v>
      </c>
    </row>
    <row r="25" spans="1:11" s="210" customFormat="1" ht="15" customHeight="1" x14ac:dyDescent="0.15">
      <c r="A25" s="231"/>
      <c r="B25" s="242"/>
      <c r="C25" s="243"/>
      <c r="D25" s="244"/>
      <c r="E25" s="244"/>
      <c r="F25" s="245"/>
    </row>
    <row r="26" spans="1:11" s="210" customFormat="1" ht="15" customHeight="1" x14ac:dyDescent="0.15">
      <c r="A26" s="231"/>
      <c r="B26" s="220" t="s">
        <v>170</v>
      </c>
      <c r="C26" s="220" t="s">
        <v>217</v>
      </c>
      <c r="D26" s="220" t="s">
        <v>172</v>
      </c>
      <c r="E26" s="220" t="s">
        <v>173</v>
      </c>
      <c r="F26" s="220" t="s">
        <v>174</v>
      </c>
    </row>
    <row r="27" spans="1:11" s="210" customFormat="1" ht="15" customHeight="1" x14ac:dyDescent="0.15">
      <c r="A27" s="231"/>
      <c r="B27" s="224" t="s">
        <v>216</v>
      </c>
      <c r="C27" s="240" t="s">
        <v>223</v>
      </c>
      <c r="D27" s="228">
        <v>0</v>
      </c>
      <c r="E27" s="228">
        <v>0</v>
      </c>
      <c r="F27" s="228">
        <v>0</v>
      </c>
    </row>
    <row r="28" spans="1:11" s="210" customFormat="1" ht="15" customHeight="1" x14ac:dyDescent="0.15">
      <c r="A28" s="231"/>
      <c r="B28" s="224" t="s">
        <v>218</v>
      </c>
      <c r="C28" s="240" t="s">
        <v>224</v>
      </c>
      <c r="D28" s="228">
        <v>0</v>
      </c>
      <c r="E28" s="228">
        <v>0</v>
      </c>
      <c r="F28" s="228">
        <v>0</v>
      </c>
    </row>
    <row r="29" spans="1:11" s="210" customFormat="1" ht="15" customHeight="1" x14ac:dyDescent="0.15">
      <c r="A29" s="231"/>
      <c r="B29" s="224" t="s">
        <v>219</v>
      </c>
      <c r="C29" s="240" t="s">
        <v>225</v>
      </c>
      <c r="D29" s="228">
        <v>0</v>
      </c>
      <c r="E29" s="228">
        <v>0</v>
      </c>
      <c r="F29" s="228">
        <v>0</v>
      </c>
    </row>
    <row r="30" spans="1:11" s="210" customFormat="1" ht="15" customHeight="1" x14ac:dyDescent="0.15">
      <c r="A30" s="231"/>
      <c r="B30" s="224" t="s">
        <v>220</v>
      </c>
      <c r="C30" s="240" t="s">
        <v>226</v>
      </c>
      <c r="D30" s="228">
        <v>0</v>
      </c>
      <c r="E30" s="228">
        <v>0</v>
      </c>
      <c r="F30" s="228">
        <v>0</v>
      </c>
    </row>
    <row r="31" spans="1:11" s="210" customFormat="1" ht="15" customHeight="1" x14ac:dyDescent="0.15">
      <c r="A31" s="231"/>
      <c r="B31" s="232" t="s">
        <v>221</v>
      </c>
      <c r="C31" s="241" t="s">
        <v>222</v>
      </c>
      <c r="D31" s="236">
        <f>SUM(D27:D30)</f>
        <v>0</v>
      </c>
      <c r="E31" s="236">
        <f>SUM(E27:E30)</f>
        <v>0</v>
      </c>
      <c r="F31" s="236">
        <f>SUM(F27:F30)</f>
        <v>0</v>
      </c>
    </row>
    <row r="32" spans="1:11" s="210" customFormat="1" ht="15" customHeight="1" x14ac:dyDescent="0.15">
      <c r="A32" s="231"/>
      <c r="B32" s="242"/>
      <c r="C32" s="243"/>
      <c r="D32" s="244"/>
      <c r="E32" s="244"/>
      <c r="F32" s="245"/>
    </row>
    <row r="33" spans="1:6" s="210" customFormat="1" ht="7.5" customHeight="1" x14ac:dyDescent="0.2">
      <c r="A33" s="238"/>
      <c r="B33" s="238"/>
      <c r="C33" s="238"/>
      <c r="D33" s="238"/>
      <c r="E33" s="238"/>
      <c r="F33" s="239"/>
    </row>
    <row r="34" spans="1:6" s="210" customFormat="1" ht="15" customHeight="1" x14ac:dyDescent="0.2">
      <c r="A34" s="219" t="s">
        <v>169</v>
      </c>
      <c r="B34" s="220" t="s">
        <v>170</v>
      </c>
      <c r="C34" s="220" t="s">
        <v>190</v>
      </c>
      <c r="D34" s="220" t="s">
        <v>172</v>
      </c>
      <c r="E34" s="220" t="s">
        <v>173</v>
      </c>
      <c r="F34" s="220" t="s">
        <v>174</v>
      </c>
    </row>
    <row r="35" spans="1:6" s="210" customFormat="1" ht="15" customHeight="1" x14ac:dyDescent="0.2">
      <c r="A35" s="223" t="s">
        <v>191</v>
      </c>
      <c r="B35" s="224" t="s">
        <v>192</v>
      </c>
      <c r="C35" s="240" t="s">
        <v>193</v>
      </c>
      <c r="D35" s="228">
        <v>5529500</v>
      </c>
      <c r="E35" s="228">
        <v>5733500</v>
      </c>
      <c r="F35" s="228">
        <v>5533200</v>
      </c>
    </row>
    <row r="36" spans="1:6" s="210" customFormat="1" ht="15" customHeight="1" x14ac:dyDescent="0.2">
      <c r="A36" s="212"/>
      <c r="B36" s="224" t="s">
        <v>194</v>
      </c>
      <c r="C36" s="240" t="s">
        <v>195</v>
      </c>
      <c r="D36" s="228">
        <v>132000</v>
      </c>
      <c r="E36" s="228">
        <v>132000</v>
      </c>
      <c r="F36" s="228">
        <v>132000</v>
      </c>
    </row>
    <row r="37" spans="1:6" s="210" customFormat="1" ht="15" customHeight="1" x14ac:dyDescent="0.15">
      <c r="A37" s="231" t="s">
        <v>43</v>
      </c>
      <c r="B37" s="232" t="s">
        <v>191</v>
      </c>
      <c r="C37" s="241" t="s">
        <v>196</v>
      </c>
      <c r="D37" s="236">
        <f>SUM(D35:D36)</f>
        <v>5661500</v>
      </c>
      <c r="E37" s="236">
        <f>SUM(E35:E36)</f>
        <v>5865500</v>
      </c>
      <c r="F37" s="236">
        <f>SUM(F35:F36)</f>
        <v>5665200</v>
      </c>
    </row>
    <row r="38" spans="1:6" s="210" customFormat="1" ht="7.5" customHeight="1" x14ac:dyDescent="0.2">
      <c r="A38" s="238"/>
      <c r="B38" s="238"/>
      <c r="C38" s="238"/>
      <c r="D38" s="238"/>
      <c r="E38" s="238"/>
      <c r="F38" s="239"/>
    </row>
    <row r="39" spans="1:6" s="210" customFormat="1" ht="18" customHeight="1" x14ac:dyDescent="0.15">
      <c r="A39" s="263"/>
      <c r="B39" s="285" t="s">
        <v>197</v>
      </c>
      <c r="C39" s="285"/>
      <c r="D39" s="218">
        <f>D37+D24+D18+D31</f>
        <v>38830811.230000004</v>
      </c>
      <c r="E39" s="218">
        <f>E37+E24+E18+E31</f>
        <v>31722854.120000005</v>
      </c>
      <c r="F39" s="218">
        <f>F37+F24+F18+F31</f>
        <v>29262589.810000002</v>
      </c>
    </row>
    <row r="40" spans="1:6" s="210" customFormat="1" ht="7.5" customHeight="1" x14ac:dyDescent="0.15">
      <c r="A40" s="263"/>
      <c r="B40" s="246"/>
      <c r="C40" s="246"/>
      <c r="D40" s="247"/>
      <c r="E40" s="247"/>
      <c r="F40" s="248"/>
    </row>
    <row r="41" spans="1:6" s="210" customFormat="1" ht="18" customHeight="1" x14ac:dyDescent="0.15">
      <c r="A41" s="263"/>
      <c r="B41" s="249"/>
      <c r="C41" s="250" t="s">
        <v>198</v>
      </c>
      <c r="D41" s="251">
        <f>D39+D7</f>
        <v>38830811.230000004</v>
      </c>
      <c r="E41" s="251">
        <f>E39+E7</f>
        <v>31722854.120000005</v>
      </c>
      <c r="F41" s="251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7BB2-F784-4F58-ABC4-F04ADAD26C58}">
  <sheetPr>
    <tabColor rgb="FF00B0F0"/>
    <pageSetUpPr fitToPage="1"/>
  </sheetPr>
  <dimension ref="A1:O83"/>
  <sheetViews>
    <sheetView topLeftCell="C1" zoomScaleNormal="100" zoomScaleSheetLayoutView="100" workbookViewId="0">
      <pane ySplit="2385" topLeftCell="A4"/>
      <selection activeCell="C1" sqref="A1:IV65536"/>
      <selection pane="bottomLeft" activeCell="D71" sqref="D71:K71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50.45" customHeight="1" x14ac:dyDescent="0.2">
      <c r="A1" s="290" t="s">
        <v>230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73"/>
      <c r="M1" s="74"/>
    </row>
    <row r="2" spans="1:14" s="22" customFormat="1" ht="60" x14ac:dyDescent="0.2">
      <c r="A2" s="22" t="s">
        <v>88</v>
      </c>
      <c r="B2" s="288" t="s">
        <v>0</v>
      </c>
      <c r="C2" s="288"/>
      <c r="D2" s="19" t="s">
        <v>1</v>
      </c>
      <c r="E2" s="26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2" t="s">
        <v>8</v>
      </c>
      <c r="L2" s="156"/>
    </row>
    <row r="3" spans="1:14" s="22" customFormat="1" ht="15" x14ac:dyDescent="0.2">
      <c r="B3" s="288"/>
      <c r="C3" s="288"/>
      <c r="D3" s="272" t="s">
        <v>9</v>
      </c>
      <c r="E3" s="270" t="s">
        <v>10</v>
      </c>
      <c r="F3" s="272" t="s">
        <v>11</v>
      </c>
      <c r="G3" s="272" t="s">
        <v>12</v>
      </c>
      <c r="H3" s="272" t="s">
        <v>13</v>
      </c>
      <c r="I3" s="272" t="s">
        <v>14</v>
      </c>
      <c r="J3" s="272" t="s">
        <v>15</v>
      </c>
      <c r="K3" s="272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274">
        <f>938276-2672.27-1958.53-1175.12-7282.09-1462.91</f>
        <v>923725.08</v>
      </c>
      <c r="F6" s="51">
        <f>13713159.8+278515.76-23041.47-10000-13824.88-61717.91+42571.88</f>
        <v>13925663.18</v>
      </c>
      <c r="G6" s="51">
        <f>1623560.24+84268.55+31900+10000+69000+49188.54</f>
        <v>1867917.33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16719305.59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f>245438.57-61000</f>
        <v>184438.57</v>
      </c>
      <c r="E8" s="51">
        <f>9300-392.46</f>
        <v>8907.5400000000009</v>
      </c>
      <c r="F8" s="51">
        <f>2708769.51+1770.14+960.8-49522.42</f>
        <v>2661978.0299999998</v>
      </c>
      <c r="G8" s="51" t="s">
        <v>20</v>
      </c>
      <c r="H8" s="51" t="s">
        <v>20</v>
      </c>
      <c r="I8" s="51">
        <v>6000</v>
      </c>
      <c r="J8" s="51">
        <f>71955.5+3221.75</f>
        <v>75177.25</v>
      </c>
      <c r="K8" s="51">
        <f t="shared" si="0"/>
        <v>2936501.3899999997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f>265000+10000</f>
        <v>275000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285500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f>331450-1000</f>
        <v>330450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330450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1230625.53+2598+378.56</f>
        <v>1233602.0900000001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1233602.0900000001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f>850-595</f>
        <v>255</v>
      </c>
      <c r="F12" s="51">
        <f>103000+4084.3+5000-6000</f>
        <v>106084.3</v>
      </c>
      <c r="G12" s="51" t="s">
        <v>20</v>
      </c>
      <c r="H12" s="51" t="s">
        <v>20</v>
      </c>
      <c r="I12" s="51">
        <f>70676.07+12197.55-6000+10000-7873.62</f>
        <v>79000.000000000015</v>
      </c>
      <c r="J12" s="51" t="s">
        <v>20</v>
      </c>
      <c r="K12" s="51">
        <f>D12+E12+F12+G12+H12+I12+J12</f>
        <v>185719.30000000002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f>11310-3530</f>
        <v>7780</v>
      </c>
      <c r="H13" s="51">
        <v>500</v>
      </c>
      <c r="I13" s="51" t="s">
        <v>20</v>
      </c>
      <c r="J13" s="51">
        <v>1100</v>
      </c>
      <c r="K13" s="51">
        <f t="shared" si="0"/>
        <v>19865.32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184818.57</v>
      </c>
      <c r="E14" s="52">
        <f t="shared" ref="E14:J14" si="1">SUM(E6:E13)</f>
        <v>1208245.1200000001</v>
      </c>
      <c r="F14" s="52">
        <f>SUM(F6:F13)</f>
        <v>18295405.420000002</v>
      </c>
      <c r="G14" s="52">
        <f>SUM(G6:G13)</f>
        <v>1875697.33</v>
      </c>
      <c r="H14" s="52">
        <f t="shared" si="1"/>
        <v>500</v>
      </c>
      <c r="I14" s="52">
        <f>SUM(I6:I13)</f>
        <v>85000.000000000015</v>
      </c>
      <c r="J14" s="52">
        <f t="shared" si="1"/>
        <v>84277.25</v>
      </c>
      <c r="K14" s="52">
        <f>D14+E14+F14+G14+H14+I14+J14</f>
        <v>21733943.690000005</v>
      </c>
      <c r="L14" s="23"/>
      <c r="M14" s="155">
        <f>K14+'Macro CAPITALE 2024'!G12+'Macro CAPITALE 2024'!L12</f>
        <v>24193392.510000005</v>
      </c>
      <c r="N14" s="22" t="s">
        <v>229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644266.1+21880-10000+22207+25000+15000-7972.23</f>
        <v>710380.87</v>
      </c>
      <c r="G22" s="51">
        <f>661000+400000+10000+112040.54-9337.66</f>
        <v>1173702.8800000001</v>
      </c>
      <c r="H22" s="51" t="s">
        <v>20</v>
      </c>
      <c r="I22" s="51" t="s">
        <v>20</v>
      </c>
      <c r="J22" s="51">
        <v>3300</v>
      </c>
      <c r="K22" s="51">
        <f>D22+E22+F22+G22+H22+I22+J22</f>
        <v>1887383.75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710380.87</v>
      </c>
      <c r="G23" s="52">
        <f t="shared" si="3"/>
        <v>1203702.8800000001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1917383.75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65000+323.31-340</f>
        <v>64983.31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114983.31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262">
        <f>50000+50000-26614.97+90000</f>
        <v>163385.03</v>
      </c>
      <c r="G52" s="262">
        <f>100000+100000-40000-50000+26614.97</f>
        <v>136614.97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228368.34</v>
      </c>
      <c r="G53" s="52">
        <f t="shared" si="9"/>
        <v>186614.97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414983.31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2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60000</v>
      </c>
      <c r="K65" s="51">
        <f>D65+E65+F65+G65+H65+I65+J65</f>
        <v>60000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3562456.4-400000+1701500</f>
        <v>4863956.4000000004</v>
      </c>
      <c r="K67" s="51">
        <f>D67+E67+F67+G67+H67+I67+J67</f>
        <v>4863956.4000000004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4923956.4000000004</v>
      </c>
      <c r="K68" s="52">
        <f>D68+E68+F68+G68+H68+I68+J68</f>
        <v>4923956.4000000004</v>
      </c>
      <c r="L68" s="23"/>
    </row>
    <row r="69" spans="1:14" s="22" customFormat="1" ht="11.25" customHeight="1" x14ac:dyDescent="0.2">
      <c r="C69" s="67"/>
    </row>
    <row r="70" spans="1:14" s="22" customFormat="1" ht="15" hidden="1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89" t="s">
        <v>79</v>
      </c>
      <c r="C71" s="289"/>
      <c r="D71" s="53">
        <f t="shared" ref="D71:I71" si="13">D68+D62+D53+D47+D41+D37+D32+D23+D14+D28+D57+D18</f>
        <v>184818.57</v>
      </c>
      <c r="E71" s="53">
        <f t="shared" si="13"/>
        <v>1208245.1200000001</v>
      </c>
      <c r="F71" s="261">
        <f t="shared" si="13"/>
        <v>19247554.630000003</v>
      </c>
      <c r="G71" s="261">
        <f t="shared" si="13"/>
        <v>3552210.4400000004</v>
      </c>
      <c r="H71" s="53">
        <f t="shared" si="13"/>
        <v>500</v>
      </c>
      <c r="I71" s="53">
        <f t="shared" si="13"/>
        <v>85000.000000000015</v>
      </c>
      <c r="J71" s="53">
        <f>J68+J62+J53+J47+J41+J37+J32+J23+J14+J28+J57+J18</f>
        <v>5011533.6500000004</v>
      </c>
      <c r="K71" s="53">
        <f>K68+K62+K53+K47+K41+K37+K32+K23+K14+K28+K57+K18</f>
        <v>29289862.410000004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ht="15" x14ac:dyDescent="0.2">
      <c r="D75" s="53">
        <v>245818.57</v>
      </c>
      <c r="E75" s="53">
        <v>1200695.49</v>
      </c>
      <c r="F75" s="53">
        <v>19269438.840000004</v>
      </c>
      <c r="G75" s="53">
        <v>3515889.56</v>
      </c>
      <c r="H75" s="53">
        <v>500</v>
      </c>
      <c r="I75" s="53">
        <v>92873.62000000001</v>
      </c>
      <c r="J75" s="53">
        <v>3306811.9</v>
      </c>
      <c r="K75" s="53">
        <v>27632027.98</v>
      </c>
      <c r="L75" s="25"/>
      <c r="M75" s="25"/>
    </row>
    <row r="76" spans="1:14" x14ac:dyDescent="0.2">
      <c r="L76" s="26"/>
      <c r="M76" s="25"/>
    </row>
    <row r="77" spans="1:14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2">
      <c r="L78" s="25"/>
    </row>
    <row r="79" spans="1:14" x14ac:dyDescent="0.2">
      <c r="D79" s="73">
        <f>D71-D75</f>
        <v>-61000</v>
      </c>
      <c r="E79" s="73">
        <f t="shared" ref="E79:K79" si="14">E71-E75</f>
        <v>7549.6300000001211</v>
      </c>
      <c r="F79" s="73">
        <f t="shared" si="14"/>
        <v>-21884.210000000894</v>
      </c>
      <c r="G79" s="73">
        <f t="shared" si="14"/>
        <v>36320.880000000354</v>
      </c>
      <c r="H79" s="73">
        <f t="shared" si="14"/>
        <v>0</v>
      </c>
      <c r="I79" s="73">
        <f t="shared" si="14"/>
        <v>-7873.6199999999953</v>
      </c>
      <c r="J79" s="73">
        <f t="shared" si="14"/>
        <v>1704721.7500000005</v>
      </c>
      <c r="K79" s="73">
        <f t="shared" si="14"/>
        <v>1657834.4300000034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9070-EFE6-40D8-99D5-45DE7C09B7A8}">
  <sheetPr>
    <tabColor rgb="FF00B0F0"/>
    <pageSetUpPr fitToPage="1"/>
  </sheetPr>
  <dimension ref="A1:L79"/>
  <sheetViews>
    <sheetView zoomScale="70" zoomScaleNormal="70" zoomScaleSheetLayoutView="120" workbookViewId="0">
      <pane ySplit="3" topLeftCell="A67" activePane="bottomLeft" state="frozen"/>
      <selection activeCell="E66" sqref="E66"/>
      <selection pane="bottomLeft" sqref="A1:IV65536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9.9" customHeight="1" x14ac:dyDescent="0.2">
      <c r="A1" s="290" t="s">
        <v>244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74"/>
    </row>
    <row r="2" spans="1:12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2" t="s">
        <v>8</v>
      </c>
    </row>
    <row r="3" spans="1:12" s="22" customFormat="1" ht="15" x14ac:dyDescent="0.2">
      <c r="B3" s="288"/>
      <c r="C3" s="288"/>
      <c r="D3" s="272" t="s">
        <v>9</v>
      </c>
      <c r="E3" s="272" t="s">
        <v>10</v>
      </c>
      <c r="F3" s="272" t="s">
        <v>11</v>
      </c>
      <c r="G3" s="272" t="s">
        <v>12</v>
      </c>
      <c r="H3" s="272" t="s">
        <v>13</v>
      </c>
      <c r="I3" s="272" t="s">
        <v>14</v>
      </c>
      <c r="J3" s="272" t="s">
        <v>15</v>
      </c>
      <c r="K3" s="272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0" t="s">
        <v>15</v>
      </c>
      <c r="K5" s="163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f>1004266.11-15298.9</f>
        <v>988967.21</v>
      </c>
      <c r="F6" s="51">
        <f>15568036.59-7863.84-174987.01</f>
        <v>15385185.74</v>
      </c>
      <c r="G6" s="51">
        <f>1808560.24+7863.84</f>
        <v>1816424.08</v>
      </c>
      <c r="H6" s="51" t="s">
        <v>20</v>
      </c>
      <c r="I6" s="51" t="s">
        <v>20</v>
      </c>
      <c r="J6" s="161">
        <v>2000</v>
      </c>
      <c r="K6" s="164">
        <f>D6+E6+F6+G6+H6+I6+J6</f>
        <v>18192577.030000001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1" t="s">
        <v>20</v>
      </c>
      <c r="K7" s="164">
        <f t="shared" ref="K7:K13" si="0">D7+E7+F7+G7+H7+I7+J7</f>
        <v>23000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f>258000-35000</f>
        <v>223000</v>
      </c>
      <c r="E8" s="51">
        <v>9300</v>
      </c>
      <c r="F8" s="51">
        <f>2766862-6500</f>
        <v>2760362</v>
      </c>
      <c r="G8" s="51" t="s">
        <v>20</v>
      </c>
      <c r="H8" s="51" t="s">
        <v>20</v>
      </c>
      <c r="I8" s="51">
        <v>0</v>
      </c>
      <c r="J8" s="161">
        <v>71955.5</v>
      </c>
      <c r="K8" s="164">
        <f t="shared" si="0"/>
        <v>3064617.5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1">
        <v>6000</v>
      </c>
      <c r="K9" s="164">
        <f t="shared" si="0"/>
        <v>275500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1">
        <v>0</v>
      </c>
      <c r="K10" s="164">
        <f t="shared" si="0"/>
        <v>366450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1079775.02+190285.91</f>
        <v>1270060.93</v>
      </c>
      <c r="G11" s="51" t="s">
        <v>20</v>
      </c>
      <c r="H11" s="51" t="s">
        <v>20</v>
      </c>
      <c r="I11" s="51" t="s">
        <v>20</v>
      </c>
      <c r="J11" s="161">
        <v>0</v>
      </c>
      <c r="K11" s="164">
        <f t="shared" si="0"/>
        <v>1270060.93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1" t="s">
        <v>20</v>
      </c>
      <c r="K12" s="164">
        <f t="shared" si="0"/>
        <v>186906.07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1">
        <v>1100</v>
      </c>
      <c r="K13" s="164">
        <f t="shared" si="0"/>
        <v>10810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 t="shared" ref="D14:I14" si="1">SUM(D6:D13)</f>
        <v>223380</v>
      </c>
      <c r="E14" s="52">
        <f t="shared" si="1"/>
        <v>1264117.21</v>
      </c>
      <c r="F14" s="52">
        <f t="shared" si="1"/>
        <v>19913558.670000002</v>
      </c>
      <c r="G14" s="52">
        <f t="shared" si="1"/>
        <v>1825634.08</v>
      </c>
      <c r="H14" s="52">
        <f t="shared" si="1"/>
        <v>500</v>
      </c>
      <c r="I14" s="52">
        <f t="shared" si="1"/>
        <v>81676.070000000007</v>
      </c>
      <c r="J14" s="162">
        <v>81055.5</v>
      </c>
      <c r="K14" s="202">
        <f>D14+E14+F14+G14+H14+I14+J14</f>
        <v>23389921.530000001</v>
      </c>
    </row>
    <row r="15" spans="1:12" s="22" customFormat="1" x14ac:dyDescent="0.2">
      <c r="C15" s="67"/>
    </row>
    <row r="16" spans="1:12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683461.76</v>
      </c>
      <c r="G22" s="51">
        <v>596000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683461.76</v>
      </c>
      <c r="G23" s="52">
        <f t="shared" si="3"/>
        <v>596000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2">
      <c r="C32" s="67"/>
    </row>
    <row r="33" spans="1:11" s="22" customFormat="1" hidden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hidden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f>50000+41500</f>
        <v>91500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91500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141500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241500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ht="1.1499999999999999" customHeigh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2">
      <c r="C72" s="67"/>
    </row>
    <row r="73" spans="1:11" s="22" customFormat="1" ht="15" hidden="1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89" t="s">
        <v>79</v>
      </c>
      <c r="C74" s="289"/>
      <c r="D74" s="53">
        <f t="shared" ref="D74:K74" si="12">D71+D64+D55+D48+D42+D37+D31+D23+D14+D27+D59+D18</f>
        <v>223380</v>
      </c>
      <c r="E74" s="53">
        <f t="shared" si="12"/>
        <v>1264117.21</v>
      </c>
      <c r="F74" s="53">
        <f t="shared" si="12"/>
        <v>20751920.430000003</v>
      </c>
      <c r="G74" s="53">
        <f t="shared" si="12"/>
        <v>2795634.08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F887-AFA3-46DF-BCF2-AD5C52E2586B}">
  <sheetPr>
    <tabColor rgb="FF00B0F0"/>
  </sheetPr>
  <dimension ref="A1:L71"/>
  <sheetViews>
    <sheetView zoomScaleNormal="100" zoomScaleSheetLayoutView="115" workbookViewId="0">
      <pane ySplit="3" topLeftCell="A67" activePane="bottomLeft" state="frozen"/>
      <selection activeCell="E66" sqref="E66"/>
      <selection pane="bottomLeft" activeCell="A73" sqref="A73:IV80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90" t="s">
        <v>253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5" t="s">
        <v>8</v>
      </c>
    </row>
    <row r="3" spans="1:11" s="22" customFormat="1" ht="15" x14ac:dyDescent="0.2">
      <c r="B3" s="288"/>
      <c r="C3" s="288"/>
      <c r="D3" s="265" t="s">
        <v>9</v>
      </c>
      <c r="E3" s="265" t="s">
        <v>10</v>
      </c>
      <c r="F3" s="265" t="s">
        <v>11</v>
      </c>
      <c r="G3" s="265" t="s">
        <v>12</v>
      </c>
      <c r="H3" s="265" t="s">
        <v>13</v>
      </c>
      <c r="I3" s="265" t="s">
        <v>14</v>
      </c>
      <c r="J3" s="265" t="s">
        <v>15</v>
      </c>
      <c r="K3" s="265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271">
        <f>955776-14297.66</f>
        <v>941478.34</v>
      </c>
      <c r="F6" s="271">
        <f>13532505.1-7863.84-163207.76</f>
        <v>13361433.5</v>
      </c>
      <c r="G6" s="51">
        <f>1808560.24+7863.84</f>
        <v>1816424.08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16121335.92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f>259000-35000</f>
        <v>224000</v>
      </c>
      <c r="E8" s="51">
        <v>9300</v>
      </c>
      <c r="F8" s="51">
        <f>2798662-6500</f>
        <v>2792162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3097417.5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271">
        <f>1081080.52+177505.42</f>
        <v>1258585.94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1258585.94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224380</v>
      </c>
      <c r="E14" s="52">
        <f t="shared" ref="E14:J14" si="1">SUM(E6:E13)</f>
        <v>1216628.3399999999</v>
      </c>
      <c r="F14" s="52">
        <f t="shared" si="1"/>
        <v>17870131.440000001</v>
      </c>
      <c r="G14" s="52">
        <f t="shared" si="1"/>
        <v>1825604.08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21299975.43</v>
      </c>
    </row>
    <row r="15" spans="1:11" s="22" customFormat="1" x14ac:dyDescent="0.2">
      <c r="C15" s="67"/>
    </row>
    <row r="16" spans="1:11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2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f>50000+41500</f>
        <v>91500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91500</v>
      </c>
    </row>
    <row r="49" spans="1:12" s="22" customFormat="1" ht="28.5" x14ac:dyDescent="0.25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ht="15" x14ac:dyDescent="0.25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.5" x14ac:dyDescent="0.2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141500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241500</v>
      </c>
    </row>
    <row r="52" spans="1:12" s="22" customFormat="1" x14ac:dyDescent="0.2">
      <c r="C52" s="67"/>
    </row>
    <row r="53" spans="1:12" s="22" customFormat="1" ht="28.5" x14ac:dyDescent="0.2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2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.5" x14ac:dyDescent="0.2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2">
      <c r="C56" s="67"/>
    </row>
    <row r="57" spans="1:12" s="22" customFormat="1" ht="28.5" x14ac:dyDescent="0.2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ht="28.5" x14ac:dyDescent="0.2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42.75" x14ac:dyDescent="0.25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.5" x14ac:dyDescent="0.2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2">
      <c r="C61" s="67"/>
    </row>
    <row r="62" spans="1:12" s="22" customFormat="1" x14ac:dyDescent="0.2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2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ht="15" x14ac:dyDescent="0.25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ht="15" x14ac:dyDescent="0.25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ht="15" x14ac:dyDescent="0.25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ht="28.5" x14ac:dyDescent="0.2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2">
      <c r="C68" s="67"/>
    </row>
    <row r="69" spans="1:11" s="22" customFormat="1" ht="15" x14ac:dyDescent="0.2">
      <c r="A69" s="70"/>
      <c r="B69" s="289" t="s">
        <v>79</v>
      </c>
      <c r="C69" s="289"/>
      <c r="D69" s="53">
        <f t="shared" ref="D69:K69" si="12">D67+D60+D51+D44+D38+D34+D28+D23+D14+D55+D18</f>
        <v>224380</v>
      </c>
      <c r="E69" s="53">
        <f t="shared" si="12"/>
        <v>1216628.3399999999</v>
      </c>
      <c r="F69" s="53">
        <f t="shared" si="12"/>
        <v>18707873.490000002</v>
      </c>
      <c r="G69" s="53">
        <f t="shared" si="12"/>
        <v>2735299.74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7AEB-F767-4791-927A-BFC1411F4C62}">
  <sheetPr>
    <tabColor theme="5" tint="0.39997558519241921"/>
    <pageSetUpPr fitToPage="1"/>
  </sheetPr>
  <dimension ref="B1:L45"/>
  <sheetViews>
    <sheetView zoomScale="80" zoomScaleNormal="80" workbookViewId="0">
      <selection sqref="A1:IV65536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297" t="s">
        <v>231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2:12" s="75" customFormat="1" ht="5.25" customHeight="1" x14ac:dyDescent="0.15">
      <c r="C2" s="76"/>
    </row>
    <row r="3" spans="2:12" s="78" customFormat="1" ht="75" customHeight="1" x14ac:dyDescent="0.2">
      <c r="B3" s="291" t="s">
        <v>0</v>
      </c>
      <c r="C3" s="292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93"/>
      <c r="C4" s="294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f>30000+38500</f>
        <v>68500</v>
      </c>
      <c r="E7" s="91" t="s">
        <v>20</v>
      </c>
      <c r="F7" s="91" t="s">
        <v>20</v>
      </c>
      <c r="G7" s="92">
        <f>D7+E7+F7</f>
        <v>68500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674130+270.89+189995.33</f>
        <v>864396.22</v>
      </c>
      <c r="E9" s="91">
        <v>5000</v>
      </c>
      <c r="F9" s="91">
        <v>0</v>
      </c>
      <c r="G9" s="92">
        <f>D9+E9+F9</f>
        <v>869396.22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800000+3071.81+564726.8+153753.99</f>
        <v>1521552.6</v>
      </c>
      <c r="E10" s="91" t="s">
        <v>20</v>
      </c>
      <c r="F10" s="91" t="s">
        <v>20</v>
      </c>
      <c r="G10" s="92">
        <f>D10+E10+F10</f>
        <v>1521552.6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2454448.8200000003</v>
      </c>
      <c r="E12" s="95">
        <f t="shared" si="1"/>
        <v>5000</v>
      </c>
      <c r="F12" s="95">
        <f t="shared" si="1"/>
        <v>0</v>
      </c>
      <c r="G12" s="95">
        <f t="shared" si="1"/>
        <v>2459448.8200000003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4">
        <f>75000+2000+13000</f>
        <v>90000</v>
      </c>
      <c r="E16" s="91">
        <v>0</v>
      </c>
      <c r="F16" s="91" t="s">
        <v>20</v>
      </c>
      <c r="G16" s="92">
        <f>D16+E16+F16</f>
        <v>90000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90000</v>
      </c>
      <c r="E17" s="95">
        <f t="shared" si="2"/>
        <v>1300000</v>
      </c>
      <c r="F17" s="95">
        <f t="shared" si="2"/>
        <v>0</v>
      </c>
      <c r="G17" s="95">
        <f t="shared" si="2"/>
        <v>1390000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4"/>
      <c r="C18" s="195"/>
      <c r="D18" s="196" t="s">
        <v>88</v>
      </c>
      <c r="E18" s="196"/>
      <c r="F18" s="196"/>
      <c r="G18" s="196"/>
      <c r="H18" s="196"/>
      <c r="I18" s="196"/>
      <c r="J18" s="196"/>
      <c r="K18" s="196"/>
      <c r="L18" s="196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7"/>
      <c r="E23" s="197"/>
      <c r="F23" s="197"/>
      <c r="G23" s="198"/>
      <c r="H23" s="198"/>
      <c r="I23" s="198"/>
      <c r="J23" s="198"/>
      <c r="K23" s="198"/>
      <c r="L23" s="198"/>
    </row>
    <row r="24" spans="2:12" s="78" customFormat="1" ht="14.25" x14ac:dyDescent="0.2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204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295" t="s">
        <v>79</v>
      </c>
      <c r="C32" s="296"/>
      <c r="D32" s="97">
        <f>D30+D17+D12+D26+D21</f>
        <v>2544448.8200000003</v>
      </c>
      <c r="E32" s="97">
        <f t="shared" ref="E32:L32" si="6">E30+E17+E12+E26+E21</f>
        <v>1305000</v>
      </c>
      <c r="F32" s="97">
        <f t="shared" si="6"/>
        <v>30000</v>
      </c>
      <c r="G32" s="97">
        <f t="shared" si="6"/>
        <v>3879448.8200000003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ht="15" x14ac:dyDescent="0.2">
      <c r="D35" s="259"/>
      <c r="E35" s="259"/>
      <c r="F35" s="259"/>
      <c r="G35" s="259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190C-3733-47FC-9388-4F1CC1A5987B}">
  <sheetPr>
    <tabColor theme="5" tint="0.39997558519241921"/>
  </sheetPr>
  <dimension ref="A1:N26"/>
  <sheetViews>
    <sheetView topLeftCell="A4" zoomScaleNormal="10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7" t="s">
        <v>245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298" t="s">
        <v>0</v>
      </c>
      <c r="C3" s="299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0"/>
      <c r="C4" s="301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3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302" t="s">
        <v>79</v>
      </c>
      <c r="C23" s="303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385D-3C25-44E0-B67D-8196F974832C}">
  <sheetPr>
    <tabColor theme="5" tint="0.39997558519241921"/>
  </sheetPr>
  <dimension ref="A1:N26"/>
  <sheetViews>
    <sheetView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7" t="s">
        <v>254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298" t="s">
        <v>0</v>
      </c>
      <c r="C3" s="299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0"/>
      <c r="C4" s="301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3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302" t="s">
        <v>79</v>
      </c>
      <c r="C23" s="303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DCB3-364D-44B6-B92F-CA40994A45BA}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6" t="s">
        <v>232</v>
      </c>
      <c r="C1" s="307"/>
      <c r="D1" s="307"/>
      <c r="E1" s="307"/>
      <c r="F1" s="307"/>
      <c r="G1" s="133"/>
    </row>
    <row r="2" spans="1:7" s="49" customFormat="1" ht="15" customHeight="1" x14ac:dyDescent="0.15"/>
    <row r="3" spans="1:7" s="134" customFormat="1" ht="29.25" customHeight="1" x14ac:dyDescent="0.2">
      <c r="B3" s="304" t="s">
        <v>0</v>
      </c>
      <c r="C3" s="304"/>
      <c r="D3" s="135" t="s">
        <v>193</v>
      </c>
      <c r="E3" s="135" t="s">
        <v>195</v>
      </c>
      <c r="F3" s="209" t="s">
        <v>8</v>
      </c>
    </row>
    <row r="4" spans="1:7" s="134" customFormat="1" ht="18" customHeight="1" x14ac:dyDescent="0.2">
      <c r="B4" s="304"/>
      <c r="C4" s="304"/>
      <c r="D4" s="209" t="s">
        <v>202</v>
      </c>
      <c r="E4" s="209" t="s">
        <v>201</v>
      </c>
      <c r="F4" s="209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5" t="s">
        <v>79</v>
      </c>
      <c r="C11" s="305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2024-08-06T08:36:18Z</dcterms:modified>
</cp:coreProperties>
</file>