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a.nenci\Desktop\"/>
    </mc:Choice>
  </mc:AlternateContent>
  <xr:revisionPtr revIDLastSave="0" documentId="8_{DFD2F610-AD5A-47E4-ACE2-6A31E9D02AEB}" xr6:coauthVersionLast="36" xr6:coauthVersionMax="36" xr10:uidLastSave="{00000000-0000-0000-0000-000000000000}"/>
  <bookViews>
    <workbookView xWindow="32760" yWindow="32760" windowWidth="20490" windowHeight="7755" tabRatio="877" activeTab="10"/>
  </bookViews>
  <sheets>
    <sheet name="Entrate per categoria" sheetId="7" r:id="rId1"/>
    <sheet name="Riepilogo SPESE " sheetId="8" r:id="rId2"/>
    <sheet name=" Macro CORRENTI 2023" sheetId="1" r:id="rId3"/>
    <sheet name="Macro CORRENTI 2024" sheetId="2" r:id="rId4"/>
    <sheet name="Macro CORRENTI 2025" sheetId="3" r:id="rId5"/>
    <sheet name="Macro CAPITALE 2023" sheetId="4" r:id="rId6"/>
    <sheet name="Macro CAPITALE 2024" sheetId="5" r:id="rId7"/>
    <sheet name="Macro CAPITALE 2025" sheetId="6" r:id="rId8"/>
    <sheet name="Macro Partite di giro 2023" sheetId="10" r:id="rId9"/>
    <sheet name="Macro Partite di giro 2024" sheetId="11" r:id="rId10"/>
    <sheet name="Macro Partite di giro  2025" sheetId="12" r:id="rId11"/>
  </sheets>
  <definedNames>
    <definedName name="_xlnm.Print_Area" localSheetId="2">#N/A</definedName>
    <definedName name="_xlnm.Print_Area" localSheetId="0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3">#N/A</definedName>
    <definedName name="_xlnm.Print_Area" localSheetId="4">#N/A</definedName>
    <definedName name="_xlnm.Print_Area" localSheetId="10">#N/A</definedName>
    <definedName name="_xlnm.Print_Area" localSheetId="8">#N/A</definedName>
    <definedName name="_xlnm.Print_Area" localSheetId="9">#N/A</definedName>
    <definedName name="_xlnm.Print_Area" localSheetId="1">#N/A</definedName>
    <definedName name="_xlnm.Print_Titles" localSheetId="2">#N/A</definedName>
    <definedName name="_xlnm.Print_Titles" localSheetId="0">#N/A</definedName>
    <definedName name="_xlnm.Print_Titles" localSheetId="3">#N/A</definedName>
    <definedName name="_xlnm.Print_Titles" localSheetId="4">#N/A</definedName>
  </definedNames>
  <calcPr calcId="191029"/>
</workbook>
</file>

<file path=xl/calcChain.xml><?xml version="1.0" encoding="utf-8"?>
<calcChain xmlns="http://schemas.openxmlformats.org/spreadsheetml/2006/main">
  <c r="F57" i="7" l="1"/>
  <c r="F60" i="7"/>
  <c r="E7" i="10"/>
  <c r="E8" i="10"/>
  <c r="E11" i="10"/>
  <c r="D7" i="10"/>
  <c r="D8" i="10"/>
  <c r="D11" i="10"/>
  <c r="F14" i="8"/>
  <c r="F13" i="8"/>
  <c r="E14" i="8"/>
  <c r="E13" i="8"/>
  <c r="E11" i="8"/>
  <c r="E18" i="8"/>
  <c r="D36" i="8"/>
  <c r="D37" i="8"/>
  <c r="D35" i="8"/>
  <c r="D23" i="8"/>
  <c r="D22" i="8"/>
  <c r="D21" i="8"/>
  <c r="D17" i="8"/>
  <c r="D16" i="8"/>
  <c r="D14" i="8"/>
  <c r="D13" i="8"/>
  <c r="D12" i="8"/>
  <c r="D11" i="8"/>
  <c r="D18" i="8"/>
  <c r="G49" i="3"/>
  <c r="G50" i="3"/>
  <c r="G22" i="3"/>
  <c r="K22" i="3"/>
  <c r="G6" i="3"/>
  <c r="F6" i="3"/>
  <c r="K6" i="3"/>
  <c r="G54" i="2"/>
  <c r="G55" i="2"/>
  <c r="G22" i="2"/>
  <c r="K22" i="2"/>
  <c r="F8" i="2"/>
  <c r="D8" i="2"/>
  <c r="K8" i="2"/>
  <c r="F6" i="2"/>
  <c r="K6" i="2"/>
  <c r="G6" i="2"/>
  <c r="J67" i="1"/>
  <c r="K67" i="1"/>
  <c r="G58" i="3"/>
  <c r="G59" i="3"/>
  <c r="E59" i="3"/>
  <c r="F59" i="3"/>
  <c r="H59" i="3"/>
  <c r="I59" i="3"/>
  <c r="J59" i="3"/>
  <c r="D59" i="3"/>
  <c r="K57" i="3"/>
  <c r="K59" i="3"/>
  <c r="G63" i="2"/>
  <c r="G64" i="2"/>
  <c r="E64" i="2"/>
  <c r="F64" i="2"/>
  <c r="H64" i="2"/>
  <c r="I64" i="2"/>
  <c r="J64" i="2"/>
  <c r="D64" i="2"/>
  <c r="K62" i="2"/>
  <c r="G61" i="1"/>
  <c r="K60" i="1"/>
  <c r="E62" i="1"/>
  <c r="F62" i="1"/>
  <c r="G62" i="1"/>
  <c r="H62" i="1"/>
  <c r="I62" i="1"/>
  <c r="J62" i="1"/>
  <c r="D62" i="1"/>
  <c r="F52" i="1"/>
  <c r="E44" i="3"/>
  <c r="F44" i="3"/>
  <c r="H44" i="3"/>
  <c r="I44" i="3"/>
  <c r="J44" i="3"/>
  <c r="D44" i="3"/>
  <c r="G43" i="3"/>
  <c r="G44" i="3"/>
  <c r="K42" i="3"/>
  <c r="G47" i="2"/>
  <c r="K47" i="2"/>
  <c r="E48" i="2"/>
  <c r="F48" i="2"/>
  <c r="G48" i="2"/>
  <c r="H48" i="2"/>
  <c r="I48" i="2"/>
  <c r="J48" i="2"/>
  <c r="D48" i="2"/>
  <c r="K46" i="2"/>
  <c r="G46" i="1"/>
  <c r="K46" i="1"/>
  <c r="E47" i="1"/>
  <c r="F47" i="1"/>
  <c r="H47" i="1"/>
  <c r="I47" i="1"/>
  <c r="J47" i="1"/>
  <c r="D47" i="1"/>
  <c r="K44" i="1"/>
  <c r="G22" i="1"/>
  <c r="G23" i="1"/>
  <c r="F22" i="1"/>
  <c r="F23" i="1"/>
  <c r="G13" i="1"/>
  <c r="F13" i="1"/>
  <c r="I12" i="1"/>
  <c r="I14" i="1"/>
  <c r="F12" i="1"/>
  <c r="E12" i="1"/>
  <c r="D12" i="1"/>
  <c r="F11" i="1"/>
  <c r="K11" i="1"/>
  <c r="J10" i="1"/>
  <c r="F10" i="1"/>
  <c r="F8" i="1"/>
  <c r="D8" i="1"/>
  <c r="G6" i="1"/>
  <c r="G14" i="1"/>
  <c r="F6" i="1"/>
  <c r="E6" i="1"/>
  <c r="F29" i="4"/>
  <c r="G29" i="4"/>
  <c r="G30" i="4"/>
  <c r="E24" i="4"/>
  <c r="E20" i="4"/>
  <c r="G20" i="4"/>
  <c r="G21" i="4"/>
  <c r="D16" i="4"/>
  <c r="G16" i="4"/>
  <c r="D10" i="4"/>
  <c r="G10" i="4"/>
  <c r="D9" i="4"/>
  <c r="D7" i="4"/>
  <c r="G7" i="4"/>
  <c r="F64" i="7"/>
  <c r="F62" i="7"/>
  <c r="F66" i="7"/>
  <c r="F50" i="7"/>
  <c r="F48" i="7"/>
  <c r="F52" i="7"/>
  <c r="F36" i="7"/>
  <c r="F35" i="7"/>
  <c r="F14" i="7"/>
  <c r="F12" i="7"/>
  <c r="F8" i="7"/>
  <c r="F15" i="7"/>
  <c r="J55" i="2"/>
  <c r="I55" i="2"/>
  <c r="H55" i="2"/>
  <c r="K52" i="2"/>
  <c r="F6" i="7"/>
  <c r="J6" i="1"/>
  <c r="F7" i="7"/>
  <c r="F54" i="2"/>
  <c r="K54" i="2"/>
  <c r="G52" i="1"/>
  <c r="G53" i="1"/>
  <c r="F34" i="7"/>
  <c r="F32" i="7"/>
  <c r="F31" i="7"/>
  <c r="F12" i="3"/>
  <c r="I12" i="3"/>
  <c r="I14" i="3"/>
  <c r="K12" i="3"/>
  <c r="F12" i="2"/>
  <c r="I12" i="2"/>
  <c r="I14" i="2"/>
  <c r="K50" i="1"/>
  <c r="E53" i="1"/>
  <c r="F53" i="1"/>
  <c r="H53" i="1"/>
  <c r="I53" i="1"/>
  <c r="J53" i="1"/>
  <c r="D53" i="1"/>
  <c r="D26" i="4"/>
  <c r="D21" i="4"/>
  <c r="E26" i="4"/>
  <c r="F26" i="4"/>
  <c r="H26" i="4"/>
  <c r="I26" i="4"/>
  <c r="J26" i="4"/>
  <c r="K26" i="4"/>
  <c r="L24" i="4"/>
  <c r="G24" i="4"/>
  <c r="L20" i="4"/>
  <c r="K21" i="4"/>
  <c r="J21" i="4"/>
  <c r="I21" i="4"/>
  <c r="H21" i="4"/>
  <c r="F21" i="4"/>
  <c r="E21" i="4"/>
  <c r="E13" i="1"/>
  <c r="J18" i="3"/>
  <c r="I18" i="3"/>
  <c r="H18" i="3"/>
  <c r="G18" i="3"/>
  <c r="F18" i="3"/>
  <c r="E18" i="3"/>
  <c r="D18" i="3"/>
  <c r="K17" i="3"/>
  <c r="J18" i="2"/>
  <c r="I18" i="2"/>
  <c r="H18" i="2"/>
  <c r="G18" i="2"/>
  <c r="F18" i="2"/>
  <c r="E18" i="2"/>
  <c r="D18" i="2"/>
  <c r="K17" i="2"/>
  <c r="K13" i="2"/>
  <c r="K11" i="2"/>
  <c r="K10" i="2"/>
  <c r="K9" i="2"/>
  <c r="K7" i="2"/>
  <c r="K70" i="2"/>
  <c r="K69" i="2"/>
  <c r="K68" i="2"/>
  <c r="K10" i="1"/>
  <c r="K9" i="1"/>
  <c r="K7" i="1"/>
  <c r="F37" i="8"/>
  <c r="G9" i="5"/>
  <c r="F12" i="4"/>
  <c r="F56" i="7"/>
  <c r="G41" i="1"/>
  <c r="G11" i="4"/>
  <c r="E14" i="2"/>
  <c r="G14" i="2"/>
  <c r="D12" i="6"/>
  <c r="G10" i="6"/>
  <c r="G10" i="5"/>
  <c r="G12" i="5"/>
  <c r="F24" i="8"/>
  <c r="E24" i="8"/>
  <c r="H42" i="7"/>
  <c r="G42" i="7"/>
  <c r="F42" i="7"/>
  <c r="L25" i="4"/>
  <c r="L26" i="4"/>
  <c r="G25" i="4"/>
  <c r="G26" i="4"/>
  <c r="E28" i="1"/>
  <c r="F28" i="1"/>
  <c r="G28" i="1"/>
  <c r="H28" i="1"/>
  <c r="I28" i="1"/>
  <c r="J28" i="1"/>
  <c r="D28" i="1"/>
  <c r="K27" i="1"/>
  <c r="D18" i="1"/>
  <c r="J18" i="1"/>
  <c r="I18" i="1"/>
  <c r="H18" i="1"/>
  <c r="G18" i="1"/>
  <c r="E18" i="1"/>
  <c r="K17" i="1"/>
  <c r="H62" i="7"/>
  <c r="G62" i="7"/>
  <c r="F17" i="7"/>
  <c r="E17" i="5"/>
  <c r="F18" i="8"/>
  <c r="E17" i="4"/>
  <c r="F7" i="10"/>
  <c r="F8" i="10"/>
  <c r="F11" i="10"/>
  <c r="K8" i="3"/>
  <c r="D14" i="3"/>
  <c r="G14" i="3"/>
  <c r="K65" i="3"/>
  <c r="J71" i="2"/>
  <c r="J74" i="2"/>
  <c r="K65" i="1"/>
  <c r="F36" i="1"/>
  <c r="K36" i="1"/>
  <c r="K21" i="6"/>
  <c r="K23" i="6"/>
  <c r="J21" i="6"/>
  <c r="I21" i="6"/>
  <c r="H21" i="6"/>
  <c r="L20" i="6"/>
  <c r="K17" i="6"/>
  <c r="J17" i="6"/>
  <c r="I17" i="6"/>
  <c r="H17" i="6"/>
  <c r="L17" i="6"/>
  <c r="L16" i="6"/>
  <c r="L15" i="6"/>
  <c r="K12" i="6"/>
  <c r="J12" i="6"/>
  <c r="L12" i="6"/>
  <c r="I12" i="6"/>
  <c r="I23" i="6"/>
  <c r="H12" i="6"/>
  <c r="L11" i="6"/>
  <c r="L10" i="6"/>
  <c r="L9" i="6"/>
  <c r="L8" i="6"/>
  <c r="L7" i="6"/>
  <c r="K21" i="5"/>
  <c r="J21" i="5"/>
  <c r="I21" i="5"/>
  <c r="L21" i="5"/>
  <c r="L23" i="5"/>
  <c r="I23" i="5"/>
  <c r="H21" i="5"/>
  <c r="L20" i="5"/>
  <c r="K17" i="5"/>
  <c r="L17" i="5"/>
  <c r="J17" i="5"/>
  <c r="I17" i="5"/>
  <c r="H17" i="5"/>
  <c r="L16" i="5"/>
  <c r="L15" i="5"/>
  <c r="K12" i="5"/>
  <c r="J12" i="5"/>
  <c r="L12" i="5"/>
  <c r="I12" i="5"/>
  <c r="H12" i="5"/>
  <c r="L11" i="5"/>
  <c r="L10" i="5"/>
  <c r="L9" i="5"/>
  <c r="L8" i="5"/>
  <c r="L7" i="5"/>
  <c r="F7" i="12"/>
  <c r="F8" i="12"/>
  <c r="F11" i="12"/>
  <c r="F7" i="11"/>
  <c r="F8" i="11"/>
  <c r="F11" i="11"/>
  <c r="G8" i="5"/>
  <c r="G8" i="4"/>
  <c r="K45" i="1"/>
  <c r="H56" i="7"/>
  <c r="G56" i="7"/>
  <c r="G66" i="7"/>
  <c r="H48" i="7"/>
  <c r="H52" i="7"/>
  <c r="G48" i="7"/>
  <c r="H45" i="7"/>
  <c r="G45" i="7"/>
  <c r="G52" i="7"/>
  <c r="F45" i="7"/>
  <c r="H34" i="7"/>
  <c r="G34" i="7"/>
  <c r="G38" i="7"/>
  <c r="H31" i="7"/>
  <c r="G31" i="7"/>
  <c r="H28" i="7"/>
  <c r="H38" i="7"/>
  <c r="G28" i="7"/>
  <c r="F28" i="7"/>
  <c r="H12" i="7"/>
  <c r="H20" i="7"/>
  <c r="G12" i="7"/>
  <c r="G20" i="7"/>
  <c r="J64" i="3"/>
  <c r="K64" i="3"/>
  <c r="J66" i="3"/>
  <c r="D17" i="5"/>
  <c r="G20" i="5"/>
  <c r="G21" i="5"/>
  <c r="G23" i="5"/>
  <c r="L29" i="4"/>
  <c r="L16" i="4"/>
  <c r="L15" i="4"/>
  <c r="L8" i="4"/>
  <c r="L9" i="4"/>
  <c r="L10" i="4"/>
  <c r="L11" i="4"/>
  <c r="L7" i="4"/>
  <c r="H17" i="4"/>
  <c r="I17" i="4"/>
  <c r="J17" i="4"/>
  <c r="K17" i="4"/>
  <c r="I12" i="4"/>
  <c r="J12" i="4"/>
  <c r="K12" i="4"/>
  <c r="L12" i="4"/>
  <c r="H12" i="4"/>
  <c r="K30" i="4"/>
  <c r="J30" i="4"/>
  <c r="J32" i="4"/>
  <c r="I30" i="4"/>
  <c r="I32" i="4"/>
  <c r="F31" i="8"/>
  <c r="F39" i="8"/>
  <c r="F41" i="8"/>
  <c r="E31" i="8"/>
  <c r="D31" i="8"/>
  <c r="H30" i="4"/>
  <c r="H32" i="4"/>
  <c r="J54" i="3"/>
  <c r="I54" i="3"/>
  <c r="H54" i="3"/>
  <c r="G54" i="3"/>
  <c r="F54" i="3"/>
  <c r="E54" i="3"/>
  <c r="D54" i="3"/>
  <c r="K53" i="3"/>
  <c r="J59" i="2"/>
  <c r="I59" i="2"/>
  <c r="H59" i="2"/>
  <c r="G59" i="2"/>
  <c r="F59" i="2"/>
  <c r="E59" i="2"/>
  <c r="D59" i="2"/>
  <c r="K58" i="2"/>
  <c r="J57" i="1"/>
  <c r="I57" i="1"/>
  <c r="H57" i="1"/>
  <c r="G57" i="1"/>
  <c r="F57" i="1"/>
  <c r="E57" i="1"/>
  <c r="D57" i="1"/>
  <c r="K56" i="1"/>
  <c r="G23" i="3"/>
  <c r="F23" i="2"/>
  <c r="K26" i="1"/>
  <c r="K26" i="2"/>
  <c r="K27" i="2"/>
  <c r="E27" i="2"/>
  <c r="F27" i="2"/>
  <c r="G27" i="2"/>
  <c r="H27" i="2"/>
  <c r="I27" i="2"/>
  <c r="J27" i="2"/>
  <c r="D27" i="2"/>
  <c r="D8" i="12"/>
  <c r="D11" i="12"/>
  <c r="E8" i="12"/>
  <c r="E11" i="12"/>
  <c r="D11" i="11"/>
  <c r="E11" i="11"/>
  <c r="E37" i="8"/>
  <c r="E39" i="8"/>
  <c r="E41" i="8"/>
  <c r="H24" i="7"/>
  <c r="G24" i="7"/>
  <c r="F24" i="7"/>
  <c r="D21" i="6"/>
  <c r="E21" i="6"/>
  <c r="E23" i="6"/>
  <c r="F21" i="6"/>
  <c r="G21" i="6"/>
  <c r="G16" i="6"/>
  <c r="G17" i="6"/>
  <c r="G15" i="6"/>
  <c r="E17" i="6"/>
  <c r="F17" i="6"/>
  <c r="D17" i="6"/>
  <c r="E12" i="6"/>
  <c r="F12" i="6"/>
  <c r="G9" i="6"/>
  <c r="G11" i="6"/>
  <c r="G7" i="6"/>
  <c r="D21" i="5"/>
  <c r="E21" i="5"/>
  <c r="E23" i="5"/>
  <c r="G15" i="5"/>
  <c r="G16" i="5"/>
  <c r="G17" i="5"/>
  <c r="G11" i="5"/>
  <c r="G7" i="5"/>
  <c r="E12" i="5"/>
  <c r="F12" i="5"/>
  <c r="E30" i="4"/>
  <c r="E32" i="4"/>
  <c r="D30" i="4"/>
  <c r="F17" i="4"/>
  <c r="E12" i="4"/>
  <c r="E66" i="3"/>
  <c r="K66" i="3"/>
  <c r="F66" i="3"/>
  <c r="G66" i="3"/>
  <c r="H66" i="3"/>
  <c r="I66" i="3"/>
  <c r="D66" i="3"/>
  <c r="E50" i="3"/>
  <c r="F50" i="3"/>
  <c r="H50" i="3"/>
  <c r="I50" i="3"/>
  <c r="J50" i="3"/>
  <c r="D50" i="3"/>
  <c r="E38" i="3"/>
  <c r="F38" i="3"/>
  <c r="G38" i="3"/>
  <c r="H38" i="3"/>
  <c r="I38" i="3"/>
  <c r="J38" i="3"/>
  <c r="D38" i="3"/>
  <c r="E34" i="3"/>
  <c r="F34" i="3"/>
  <c r="G34" i="3"/>
  <c r="H34" i="3"/>
  <c r="I34" i="3"/>
  <c r="J34" i="3"/>
  <c r="D34" i="3"/>
  <c r="E28" i="3"/>
  <c r="F28" i="3"/>
  <c r="G28" i="3"/>
  <c r="H28" i="3"/>
  <c r="I28" i="3"/>
  <c r="J28" i="3"/>
  <c r="D28" i="3"/>
  <c r="E23" i="3"/>
  <c r="F23" i="3"/>
  <c r="H23" i="3"/>
  <c r="I23" i="3"/>
  <c r="K23" i="3"/>
  <c r="J23" i="3"/>
  <c r="D23" i="3"/>
  <c r="E14" i="3"/>
  <c r="H14" i="3"/>
  <c r="J14" i="3"/>
  <c r="K7" i="3"/>
  <c r="K9" i="3"/>
  <c r="K10" i="3"/>
  <c r="K11" i="3"/>
  <c r="K13" i="3"/>
  <c r="K21" i="3"/>
  <c r="K32" i="3"/>
  <c r="K33" i="3"/>
  <c r="K37" i="3"/>
  <c r="K43" i="3"/>
  <c r="K48" i="3"/>
  <c r="K58" i="3"/>
  <c r="H14" i="1"/>
  <c r="E23" i="1"/>
  <c r="H23" i="1"/>
  <c r="I23" i="1"/>
  <c r="J23" i="1"/>
  <c r="D23" i="1"/>
  <c r="E32" i="1"/>
  <c r="F32" i="1"/>
  <c r="G32" i="1"/>
  <c r="H32" i="1"/>
  <c r="I32" i="1"/>
  <c r="J32" i="1"/>
  <c r="D32" i="1"/>
  <c r="E37" i="1"/>
  <c r="G37" i="1"/>
  <c r="H37" i="1"/>
  <c r="I37" i="1"/>
  <c r="J37" i="1"/>
  <c r="D37" i="1"/>
  <c r="E41" i="1"/>
  <c r="F41" i="1"/>
  <c r="H41" i="1"/>
  <c r="I41" i="1"/>
  <c r="J41" i="1"/>
  <c r="D41" i="1"/>
  <c r="E68" i="1"/>
  <c r="F68" i="1"/>
  <c r="G68" i="1"/>
  <c r="H68" i="1"/>
  <c r="I68" i="1"/>
  <c r="D68" i="1"/>
  <c r="E71" i="2"/>
  <c r="F71" i="2"/>
  <c r="G71" i="2"/>
  <c r="H71" i="2"/>
  <c r="I71" i="2"/>
  <c r="D71" i="2"/>
  <c r="E55" i="2"/>
  <c r="D55" i="2"/>
  <c r="E42" i="2"/>
  <c r="F42" i="2"/>
  <c r="G42" i="2"/>
  <c r="H42" i="2"/>
  <c r="I42" i="2"/>
  <c r="J42" i="2"/>
  <c r="D42" i="2"/>
  <c r="E37" i="2"/>
  <c r="F37" i="2"/>
  <c r="G37" i="2"/>
  <c r="H37" i="2"/>
  <c r="I37" i="2"/>
  <c r="J37" i="2"/>
  <c r="D37" i="2"/>
  <c r="E31" i="2"/>
  <c r="F31" i="2"/>
  <c r="G31" i="2"/>
  <c r="H31" i="2"/>
  <c r="I31" i="2"/>
  <c r="J31" i="2"/>
  <c r="D31" i="2"/>
  <c r="E23" i="2"/>
  <c r="G23" i="2"/>
  <c r="H23" i="2"/>
  <c r="I23" i="2"/>
  <c r="J23" i="2"/>
  <c r="D23" i="2"/>
  <c r="H14" i="2"/>
  <c r="J14" i="2"/>
  <c r="D14" i="2"/>
  <c r="K21" i="2"/>
  <c r="K30" i="2"/>
  <c r="K35" i="2"/>
  <c r="K36" i="2"/>
  <c r="K41" i="2"/>
  <c r="K48" i="2"/>
  <c r="K53" i="2"/>
  <c r="K63" i="2"/>
  <c r="K66" i="1"/>
  <c r="K61" i="1"/>
  <c r="K62" i="1"/>
  <c r="K35" i="1"/>
  <c r="K31" i="1"/>
  <c r="K21" i="1"/>
  <c r="F21" i="5"/>
  <c r="F23" i="5"/>
  <c r="K51" i="1"/>
  <c r="G15" i="4"/>
  <c r="G17" i="4"/>
  <c r="K63" i="3"/>
  <c r="F18" i="1"/>
  <c r="K40" i="1"/>
  <c r="J14" i="1"/>
  <c r="D12" i="5"/>
  <c r="K49" i="3"/>
  <c r="H23" i="5"/>
  <c r="K12" i="2"/>
  <c r="L17" i="4"/>
  <c r="G9" i="4"/>
  <c r="G12" i="4"/>
  <c r="H23" i="6"/>
  <c r="L21" i="4"/>
  <c r="D24" i="8"/>
  <c r="D39" i="8"/>
  <c r="D41" i="8"/>
  <c r="H74" i="2"/>
  <c r="D69" i="3"/>
  <c r="F69" i="3"/>
  <c r="H69" i="3"/>
  <c r="J69" i="3"/>
  <c r="F14" i="3"/>
  <c r="K38" i="3"/>
  <c r="K44" i="3"/>
  <c r="K34" i="3"/>
  <c r="K54" i="3"/>
  <c r="K14" i="3"/>
  <c r="I74" i="2"/>
  <c r="K23" i="2"/>
  <c r="K42" i="2"/>
  <c r="K71" i="2"/>
  <c r="K59" i="2"/>
  <c r="G74" i="2"/>
  <c r="F14" i="2"/>
  <c r="K14" i="2"/>
  <c r="J68" i="1"/>
  <c r="K68" i="1"/>
  <c r="F14" i="1"/>
  <c r="D14" i="1"/>
  <c r="K13" i="1"/>
  <c r="K32" i="1"/>
  <c r="K23" i="1"/>
  <c r="K28" i="1"/>
  <c r="G47" i="1"/>
  <c r="K57" i="1"/>
  <c r="J71" i="1"/>
  <c r="K52" i="1"/>
  <c r="K53" i="1"/>
  <c r="F37" i="1"/>
  <c r="K37" i="1"/>
  <c r="K41" i="1"/>
  <c r="K47" i="1"/>
  <c r="K8" i="1"/>
  <c r="G68" i="7"/>
  <c r="G70" i="7"/>
  <c r="G32" i="4"/>
  <c r="K37" i="2"/>
  <c r="J23" i="6"/>
  <c r="H66" i="7"/>
  <c r="H68" i="7"/>
  <c r="H70" i="7"/>
  <c r="K31" i="2"/>
  <c r="K50" i="3"/>
  <c r="K69" i="3"/>
  <c r="L21" i="6"/>
  <c r="L23" i="6"/>
  <c r="F20" i="7"/>
  <c r="F68" i="7"/>
  <c r="F70" i="7"/>
  <c r="K18" i="2"/>
  <c r="K12" i="1"/>
  <c r="D74" i="2"/>
  <c r="G71" i="1"/>
  <c r="E69" i="3"/>
  <c r="J23" i="5"/>
  <c r="F38" i="7"/>
  <c r="D12" i="4"/>
  <c r="H71" i="1"/>
  <c r="E74" i="2"/>
  <c r="I71" i="1"/>
  <c r="K64" i="2"/>
  <c r="G69" i="3"/>
  <c r="D23" i="5"/>
  <c r="D23" i="6"/>
  <c r="K18" i="3"/>
  <c r="E14" i="1"/>
  <c r="E71" i="1"/>
  <c r="K6" i="1"/>
  <c r="L30" i="4"/>
  <c r="L32" i="4"/>
  <c r="K32" i="4"/>
  <c r="F30" i="4"/>
  <c r="F32" i="4"/>
  <c r="D71" i="1"/>
  <c r="F71" i="1"/>
  <c r="I69" i="3"/>
  <c r="G12" i="6"/>
  <c r="G23" i="6"/>
  <c r="F23" i="6"/>
  <c r="K23" i="5"/>
  <c r="D17" i="4"/>
  <c r="D32" i="4"/>
  <c r="K18" i="1"/>
  <c r="F55" i="2"/>
  <c r="K55" i="2"/>
  <c r="K22" i="1"/>
  <c r="K74" i="2"/>
  <c r="F74" i="2"/>
  <c r="K14" i="1"/>
  <c r="K71" i="1"/>
</calcChain>
</file>

<file path=xl/sharedStrings.xml><?xml version="1.0" encoding="utf-8"?>
<sst xmlns="http://schemas.openxmlformats.org/spreadsheetml/2006/main" count="1691" uniqueCount="259">
  <si>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</si>
  <si>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</si>
  <si>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</si>
  <si>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</si>
  <si>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</si>
  <si>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</si>
  <si>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</si>
  <si>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</si>
  <si>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</si>
  <si>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</si>
  <si>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</si>
  <si>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</si>
  <si>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</si>
  <si>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</si>
  <si>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</si>
  <si>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</si>
  <si>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</si>
  <si>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</si>
  <si>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</si>
  <si>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</si>
  <si>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</si>
  <si>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</si>
  <si>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</si>
  <si>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</si>
  <si>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</si>
  <si>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</si>
  <si>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</si>
  <si>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</si>
  <si>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</si>
  <si>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</si>
  <si>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</si>
  <si>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</si>
  <si>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</si>
  <si>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</si>
  <si>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</si>
  <si>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</si>
  <si>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</si>
  <si>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</si>
  <si>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</si>
  <si>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</si>
  <si>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</si>
  <si>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</si>
  <si>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</si>
  <si>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</si>
  <si>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</si>
  <si>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</si>
  <si>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</si>
  <si>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</si>
  <si>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</si>
  <si>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</si>
  <si>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</si>
  <si>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</si>
  <si>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</si>
  <si>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</si>
  <si>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</si>
  <si>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</si>
  <si>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</si>
  <si>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</si>
  <si>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</si>
  <si>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</si>
  <si>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</si>
  <si>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</si>
  <si>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</si>
  <si>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</si>
  <si>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</si>
  <si>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</si>
  <si>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</si>
  <si>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</si>
  <si>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</si>
  <si>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</si>
  <si>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</si>
  <si>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</si>
  <si>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</si>
  <si>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</si>
  <si>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</si>
  <si>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</si>
  <si>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</si>
  <si>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</si>
  <si>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</si>
  <si>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</si>
  <si>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</si>
  <si>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</si>
  <si>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</si>
  <si>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</si>
  <si>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</si>
  <si>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</si>
  <si>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</si>
  <si>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</si>
  <si>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 xml:space="preserve"> </t>
  </si>
  <si>
    <t>DENOMINAZIONE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</si>
  <si>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</si>
  <si>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</si>
  <si>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</si>
  <si>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</si>
  <si>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</si>
  <si>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</si>
  <si>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</si>
  <si>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</si>
  <si>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</si>
  <si>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</si>
  <si>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</si>
  <si>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</si>
  <si>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</si>
  <si>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</si>
  <si>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</si>
  <si>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</si>
  <si>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</si>
  <si>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</si>
  <si>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</si>
  <si>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</si>
  <si>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</si>
  <si>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</si>
  <si>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</si>
  <si>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</si>
  <si>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</si>
  <si>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</si>
  <si>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</si>
  <si>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</si>
  <si>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</si>
  <si>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</si>
  <si>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</si>
  <si>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</si>
  <si>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</si>
  <si>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</si>
  <si>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</si>
  <si>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</si>
  <si>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</si>
  <si>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</si>
  <si>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</si>
  <si>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</si>
  <si>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</si>
  <si>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</si>
  <si>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</si>
  <si>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</si>
  <si>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</si>
  <si>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</si>
  <si>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</si>
  <si>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</si>
  <si>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</si>
  <si>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</si>
  <si>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</si>
  <si>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</si>
  <si>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</si>
  <si>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</si>
  <si>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</si>
  <si>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</si>
  <si>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</si>
  <si>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</si>
  <si>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</si>
  <si>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</si>
  <si>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</si>
  <si>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</si>
  <si>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</si>
  <si>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</si>
  <si>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</si>
  <si>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</si>
  <si>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</si>
  <si>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</si>
  <si>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</si>
  <si>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</si>
  <si>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</si>
  <si>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</si>
  <si>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</si>
  <si>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</si>
  <si>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</si>
  <si>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</si>
  <si>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</si>
  <si>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</si>
  <si>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</si>
  <si>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</si>
  <si>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</si>
  <si>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</si>
  <si>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</si>
  <si>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</si>
  <si>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</si>
  <si>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</si>
  <si>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</si>
  <si>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</si>
  <si>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</si>
  <si>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</si>
  <si>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</si>
  <si>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</si>
  <si>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</si>
  <si>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</si>
  <si>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</si>
  <si>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</si>
  <si>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</si>
  <si>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</si>
  <si>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</si>
  <si>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</si>
  <si>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</si>
  <si>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</si>
  <si>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</si>
  <si>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</si>
  <si>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</si>
  <si>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</si>
  <si>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</si>
  <si>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</si>
  <si>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</si>
  <si>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</si>
  <si>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</si>
  <si>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</si>
  <si>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</si>
  <si>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</si>
  <si>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</si>
  <si>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ENTRATE PER TITOLI TIPOLOGIE E CATEGORIE</t>
  </si>
  <si>
    <t>Titolo Tipologia Categoria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</si>
  <si>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</si>
  <si>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</si>
  <si>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</si>
  <si>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</si>
  <si>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</si>
  <si>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</si>
  <si>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</si>
  <si>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</si>
  <si>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</si>
  <si>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</si>
  <si>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</si>
  <si>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</si>
  <si>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</si>
  <si>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</si>
  <si>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</si>
  <si>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</si>
  <si>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</si>
  <si>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</si>
  <si>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</si>
  <si>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</si>
  <si>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</si>
  <si>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>PREVISIONI DELL'ANNO 2023</t>
  </si>
  <si>
    <t>SPESE PER MISSIONI, PROGRAMMI E MACROAGGREGATI
SPESE CORRENTI - PREVISIONI DI COMPETENZA
Esercizio finanziario 2023</t>
  </si>
  <si>
    <t>SPESE PER MISSIONI, PROGRAMMI E MACROAGGREGATI
SPESE IN CONTO CAPITALE E SPESE PER INCREMENTO DI ATTIVITA' FINANZIARIE
PREVISIONI DI COMPETENZA
Esercizio finanziario 2023</t>
  </si>
  <si>
    <t>SPESE PER MISSIONI, PROGRAMMI E MACROAGGREGATI
SPESE PER SERVIZI PER CONTO TERZI E PARTITE DI GIRO
PREVISIONI DI COMPETENZA
Esercizio finanziario 2023</t>
  </si>
  <si>
    <t>Previsioni dell'anno 2023</t>
  </si>
  <si>
    <t xml:space="preserve">  </t>
  </si>
  <si>
    <t>Previsioni dell'anno 2024</t>
  </si>
  <si>
    <t>SPESE PER MISSIONI, PROGRAMMI E MACROAGGREGATI
SPESE CORRENTI - PREVISIONI DI COMPETENZA
Esercizio finanziario 2024</t>
  </si>
  <si>
    <t>SPESE PER MISSIONI, PROGRAMMI E MACROAGGREGATI
SPESE IN CONTO CAPITALE E SPESE PER INCREMENTO DI ATTIVITA' FINANZIARIE
PREVISIONI DI COMPETENZA
Esercizio finanziario 2024</t>
  </si>
  <si>
    <t>SPESE PER MISSIONI, PROGRAMMI E MACROAGGREGATI
SPESE PER SERVIZI PER CONTO TERZI E PARTITE DI GIRO
PREVISIONI DI COMPETENZA
Esercizio finanziario 2024</t>
  </si>
  <si>
    <t>PREVISIONI DELL'ANNO 2024</t>
  </si>
  <si>
    <t>Utilizzo Avanzo di Amministrazione</t>
  </si>
  <si>
    <t>9029900</t>
  </si>
  <si>
    <t>Altre entrate per conto terzi</t>
  </si>
  <si>
    <t>04</t>
  </si>
  <si>
    <t>MISSIONE 4 - Istruzione e diritto allo studio</t>
  </si>
  <si>
    <t>TOTALE MISSIONE 4 - Istruzione e diritto allo studio</t>
  </si>
  <si>
    <t>Diritto allo studio</t>
  </si>
  <si>
    <t>Giovani</t>
  </si>
  <si>
    <t>Interventi per la disabilità</t>
  </si>
  <si>
    <t>PREVISIONI DELL'ANNO 2025</t>
  </si>
  <si>
    <t>Previsioni dell'anno 2025</t>
  </si>
  <si>
    <t>SPESE PER MISSIONI, PROGRAMMI E MACROAGGREGATI
SPESE CORRENTI - PREVISIONI DI COMPETENZA
Esercizio finanziario 2025</t>
  </si>
  <si>
    <t>SPESE PER MISSIONI, PROGRAMMI E MACROAGGREGATI
SPESE IN CONTO CAPITALE E SPESE PER INCREMENTO DI ATTIVITA' FINANZIARIE
PREVISIONI DI COMPETENZA
Esercizio finanziario 2025</t>
  </si>
  <si>
    <t>SPESE PER MISSIONI, PROGRAMMI E MACROAGGREGATI
SPESE PER SERVIZI PER CONTO TERZI E PARTITE DI GIRO
PREVISIONI DI COMPETENZA
Esercizio finanziario 2025</t>
  </si>
  <si>
    <t>Qualità dell'aria e riduzione dell'inquinamento</t>
  </si>
  <si>
    <t>Interventi per l'infanzia e i minori e per asili nido</t>
  </si>
  <si>
    <t>Industria PMI e Artigianato</t>
  </si>
  <si>
    <t>Allegato B</t>
  </si>
  <si>
    <t>Programmazione e governo delle reti dei servizi sociosanitari e sociali</t>
  </si>
  <si>
    <t>Relazioni finanziarie con le altre autonomie territoriali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</si>
</sst>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_(* #,##0.00_);_(* \(#,##0.00\);_(* &quot;-&quot;??_);_(@_)"/>
  </numFmts>
  <fonts count="36" x14ac:knownFonts="1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b/>
      <i/>
      <sz val="7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sz val="9"/>
      <color indexed="9"/>
      <name val="Arial"/>
      <family val="2"/>
    </font>
    <font>
      <sz val="7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sz val="9"/>
      <color indexed="8"/>
      <name val="Arial"/>
      <family val="2"/>
    </font>
    <font>
      <i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287">
    <xf numFmtId="0" fontId="0" fillId="0" borderId="0" xfId="0"/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2" fillId="3" borderId="0" xfId="0" applyFont="1" applyFill="1"/>
    <xf numFmtId="49" fontId="9" fillId="2" borderId="4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center"/>
    </xf>
    <xf numFmtId="0" fontId="34" fillId="3" borderId="0" xfId="0" applyFont="1" applyFill="1" applyAlignment="1">
      <alignment horizontal="right"/>
    </xf>
    <xf numFmtId="49" fontId="4" fillId="2" borderId="1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12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4" fontId="14" fillId="2" borderId="15" xfId="0" applyNumberFormat="1" applyFont="1" applyFill="1" applyBorder="1" applyAlignment="1">
      <alignment vertical="center"/>
    </xf>
    <xf numFmtId="4" fontId="14" fillId="2" borderId="6" xfId="0" applyNumberFormat="1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vertical="center"/>
    </xf>
    <xf numFmtId="4" fontId="35" fillId="3" borderId="14" xfId="0" applyNumberFormat="1" applyFont="1" applyFill="1" applyBorder="1"/>
    <xf numFmtId="4" fontId="2" fillId="3" borderId="14" xfId="0" applyNumberFormat="1" applyFont="1" applyFill="1" applyBorder="1"/>
    <xf numFmtId="4" fontId="2" fillId="3" borderId="6" xfId="0" applyNumberFormat="1" applyFont="1" applyFill="1" applyBorder="1"/>
    <xf numFmtId="4" fontId="14" fillId="2" borderId="14" xfId="0" applyNumberFormat="1" applyFont="1" applyFill="1" applyBorder="1" applyAlignment="1">
      <alignment vertical="center"/>
    </xf>
    <xf numFmtId="0" fontId="9" fillId="2" borderId="1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4" fontId="9" fillId="2" borderId="14" xfId="0" applyNumberFormat="1" applyFont="1" applyFill="1" applyBorder="1" applyAlignment="1">
      <alignment vertical="center"/>
    </xf>
    <xf numFmtId="4" fontId="9" fillId="2" borderId="6" xfId="0" applyNumberFormat="1" applyFont="1" applyFill="1" applyBorder="1" applyAlignment="1">
      <alignment vertical="center"/>
    </xf>
    <xf numFmtId="4" fontId="9" fillId="2" borderId="16" xfId="0" applyNumberFormat="1" applyFont="1" applyFill="1" applyBorder="1" applyAlignment="1">
      <alignment vertical="center"/>
    </xf>
    <xf numFmtId="4" fontId="9" fillId="2" borderId="17" xfId="0" applyNumberFormat="1" applyFont="1" applyFill="1" applyBorder="1" applyAlignment="1">
      <alignment vertical="center"/>
    </xf>
    <xf numFmtId="179" fontId="9" fillId="2" borderId="18" xfId="1" applyFont="1" applyFill="1" applyBorder="1" applyAlignment="1">
      <alignment horizontal="center" vertical="center"/>
    </xf>
    <xf numFmtId="179" fontId="9" fillId="2" borderId="8" xfId="1" applyFont="1" applyFill="1" applyBorder="1" applyAlignment="1">
      <alignment horizontal="center" vertical="center"/>
    </xf>
    <xf numFmtId="179" fontId="9" fillId="2" borderId="19" xfId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18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23" fillId="2" borderId="21" xfId="0" applyFont="1" applyFill="1" applyBorder="1" applyAlignment="1">
      <alignment horizontal="left"/>
    </xf>
    <xf numFmtId="0" fontId="18" fillId="2" borderId="21" xfId="0" applyFont="1" applyFill="1" applyBorder="1" applyAlignment="1">
      <alignment horizontal="left"/>
    </xf>
    <xf numFmtId="4" fontId="21" fillId="2" borderId="18" xfId="0" applyNumberFormat="1" applyFont="1" applyFill="1" applyBorder="1" applyAlignment="1">
      <alignment horizontal="right" vertical="center"/>
    </xf>
    <xf numFmtId="4" fontId="21" fillId="2" borderId="11" xfId="0" applyNumberFormat="1" applyFont="1" applyFill="1" applyBorder="1" applyAlignment="1">
      <alignment horizontal="right" vertical="center"/>
    </xf>
    <xf numFmtId="49" fontId="25" fillId="2" borderId="22" xfId="0" applyNumberFormat="1" applyFont="1" applyFill="1" applyBorder="1" applyAlignment="1">
      <alignment horizontal="left" vertical="center"/>
    </xf>
    <xf numFmtId="49" fontId="25" fillId="2" borderId="23" xfId="0" applyNumberFormat="1" applyFont="1" applyFill="1" applyBorder="1" applyAlignment="1">
      <alignment horizontal="left" vertical="center"/>
    </xf>
    <xf numFmtId="49" fontId="25" fillId="2" borderId="12" xfId="0" applyNumberFormat="1" applyFont="1" applyFill="1" applyBorder="1" applyAlignment="1">
      <alignment horizontal="left" vertical="center"/>
    </xf>
    <xf numFmtId="4" fontId="27" fillId="2" borderId="6" xfId="0" applyNumberFormat="1" applyFont="1" applyFill="1" applyBorder="1" applyAlignment="1">
      <alignment horizontal="right" vertical="center"/>
    </xf>
    <xf numFmtId="4" fontId="27" fillId="2" borderId="21" xfId="0" applyNumberFormat="1" applyFont="1" applyFill="1" applyBorder="1" applyAlignment="1">
      <alignment horizontal="right" vertical="center"/>
    </xf>
    <xf numFmtId="4" fontId="27" fillId="2" borderId="24" xfId="0" applyNumberFormat="1" applyFont="1" applyFill="1" applyBorder="1" applyAlignment="1">
      <alignment horizontal="right" vertical="center"/>
    </xf>
    <xf numFmtId="4" fontId="21" fillId="2" borderId="25" xfId="0" applyNumberFormat="1" applyFont="1" applyFill="1" applyBorder="1" applyAlignment="1">
      <alignment horizontal="right" vertical="center"/>
    </xf>
    <xf numFmtId="4" fontId="21" fillId="2" borderId="26" xfId="0" applyNumberFormat="1" applyFont="1" applyFill="1" applyBorder="1" applyAlignment="1">
      <alignment horizontal="right" vertical="center"/>
    </xf>
    <xf numFmtId="0" fontId="28" fillId="2" borderId="0" xfId="0" applyFont="1" applyFill="1" applyAlignment="1">
      <alignment horizontal="left"/>
    </xf>
    <xf numFmtId="0" fontId="28" fillId="2" borderId="21" xfId="0" applyFont="1" applyFill="1" applyBorder="1" applyAlignment="1">
      <alignment horizontal="left"/>
    </xf>
    <xf numFmtId="4" fontId="21" fillId="2" borderId="0" xfId="0" applyNumberFormat="1" applyFont="1" applyFill="1" applyBorder="1" applyAlignment="1">
      <alignment horizontal="right" vertical="center"/>
    </xf>
    <xf numFmtId="4" fontId="21" fillId="2" borderId="21" xfId="0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horizontal="left" vertical="center"/>
    </xf>
    <xf numFmtId="0" fontId="21" fillId="2" borderId="21" xfId="0" applyFont="1" applyFill="1" applyBorder="1" applyAlignment="1">
      <alignment horizontal="left" vertical="center"/>
    </xf>
    <xf numFmtId="179" fontId="21" fillId="2" borderId="11" xfId="1" applyFont="1" applyFill="1" applyBorder="1" applyAlignment="1">
      <alignment horizontal="right" vertical="center"/>
    </xf>
    <xf numFmtId="0" fontId="0" fillId="3" borderId="0" xfId="0" applyFill="1"/>
    <xf numFmtId="4" fontId="3" fillId="2" borderId="24" xfId="0" applyNumberFormat="1" applyFont="1" applyFill="1" applyBorder="1" applyAlignment="1">
      <alignment horizontal="right" vertical="center"/>
    </xf>
    <xf numFmtId="4" fontId="4" fillId="2" borderId="26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/>
    </xf>
    <xf numFmtId="49" fontId="3" fillId="2" borderId="24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3" fillId="2" borderId="26" xfId="0" applyFont="1" applyFill="1" applyBorder="1" applyAlignment="1">
      <alignment horizontal="left" vertical="center"/>
    </xf>
    <xf numFmtId="49" fontId="6" fillId="2" borderId="26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 wrapText="1"/>
    </xf>
    <xf numFmtId="4" fontId="8" fillId="3" borderId="0" xfId="0" applyNumberFormat="1" applyFont="1" applyFill="1"/>
    <xf numFmtId="0" fontId="4" fillId="2" borderId="0" xfId="0" applyFont="1" applyFill="1" applyAlignment="1">
      <alignment vertical="top" wrapText="1"/>
    </xf>
    <xf numFmtId="0" fontId="10" fillId="2" borderId="0" xfId="2" applyFont="1" applyFill="1" applyAlignment="1">
      <alignment horizontal="left"/>
    </xf>
    <xf numFmtId="0" fontId="10" fillId="2" borderId="0" xfId="2" applyFont="1" applyFill="1" applyAlignment="1">
      <alignment horizontal="left" wrapText="1"/>
    </xf>
    <xf numFmtId="49" fontId="4" fillId="2" borderId="11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/>
    </xf>
    <xf numFmtId="49" fontId="4" fillId="2" borderId="11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 wrapText="1"/>
    </xf>
    <xf numFmtId="49" fontId="5" fillId="2" borderId="0" xfId="2" applyNumberFormat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49" fontId="6" fillId="2" borderId="12" xfId="2" applyNumberFormat="1" applyFont="1" applyFill="1" applyBorder="1" applyAlignment="1">
      <alignment horizontal="center" vertical="center"/>
    </xf>
    <xf numFmtId="49" fontId="6" fillId="2" borderId="12" xfId="2" applyNumberFormat="1" applyFont="1" applyFill="1" applyBorder="1" applyAlignment="1">
      <alignment horizontal="left" vertical="center" wrapText="1"/>
    </xf>
    <xf numFmtId="49" fontId="5" fillId="2" borderId="12" xfId="2" applyNumberFormat="1" applyFont="1" applyFill="1" applyBorder="1" applyAlignment="1">
      <alignment horizontal="left" vertical="center"/>
    </xf>
    <xf numFmtId="0" fontId="3" fillId="2" borderId="23" xfId="2" applyFont="1" applyFill="1" applyBorder="1" applyAlignment="1">
      <alignment horizontal="left" vertical="center"/>
    </xf>
    <xf numFmtId="49" fontId="3" fillId="2" borderId="24" xfId="2" applyNumberFormat="1" applyFont="1" applyFill="1" applyBorder="1" applyAlignment="1">
      <alignment horizontal="center" vertical="center"/>
    </xf>
    <xf numFmtId="49" fontId="3" fillId="2" borderId="24" xfId="2" applyNumberFormat="1" applyFont="1" applyFill="1" applyBorder="1" applyAlignment="1">
      <alignment horizontal="left" vertical="center" wrapText="1"/>
    </xf>
    <xf numFmtId="4" fontId="3" fillId="2" borderId="24" xfId="2" applyNumberFormat="1" applyFont="1" applyFill="1" applyBorder="1" applyAlignment="1">
      <alignment horizontal="right" vertical="center"/>
    </xf>
    <xf numFmtId="4" fontId="3" fillId="2" borderId="21" xfId="2" applyNumberFormat="1" applyFont="1" applyFill="1" applyBorder="1" applyAlignment="1">
      <alignment horizontal="right" vertical="center"/>
    </xf>
    <xf numFmtId="0" fontId="3" fillId="2" borderId="26" xfId="2" applyFont="1" applyFill="1" applyBorder="1" applyAlignment="1">
      <alignment horizontal="left" vertical="center"/>
    </xf>
    <xf numFmtId="49" fontId="6" fillId="2" borderId="26" xfId="2" applyNumberFormat="1" applyFont="1" applyFill="1" applyBorder="1" applyAlignment="1">
      <alignment horizontal="left" vertical="center" wrapText="1"/>
    </xf>
    <xf numFmtId="4" fontId="4" fillId="2" borderId="26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left" wrapText="1"/>
    </xf>
    <xf numFmtId="4" fontId="4" fillId="2" borderId="11" xfId="2" applyNumberFormat="1" applyFont="1" applyFill="1" applyBorder="1" applyAlignment="1">
      <alignment horizontal="right" vertical="center"/>
    </xf>
    <xf numFmtId="0" fontId="2" fillId="3" borderId="0" xfId="2" applyFill="1"/>
    <xf numFmtId="0" fontId="2" fillId="3" borderId="0" xfId="2" applyFill="1" applyAlignment="1">
      <alignment wrapText="1"/>
    </xf>
    <xf numFmtId="0" fontId="9" fillId="2" borderId="0" xfId="2" applyFont="1" applyFill="1" applyAlignment="1">
      <alignment vertical="top" wrapText="1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 wrapText="1"/>
    </xf>
    <xf numFmtId="49" fontId="12" fillId="2" borderId="0" xfId="2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13" fillId="2" borderId="0" xfId="2" applyNumberFormat="1" applyFont="1" applyFill="1" applyAlignment="1">
      <alignment horizontal="left" vertical="center"/>
    </xf>
    <xf numFmtId="0" fontId="14" fillId="2" borderId="0" xfId="2" applyFont="1" applyFill="1" applyAlignment="1">
      <alignment horizontal="left"/>
    </xf>
    <xf numFmtId="49" fontId="9" fillId="2" borderId="11" xfId="2" applyNumberFormat="1" applyFont="1" applyFill="1" applyBorder="1" applyAlignment="1">
      <alignment horizontal="center" vertical="center" wrapText="1"/>
    </xf>
    <xf numFmtId="49" fontId="9" fillId="2" borderId="11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 wrapText="1"/>
    </xf>
    <xf numFmtId="49" fontId="15" fillId="2" borderId="0" xfId="2" applyNumberFormat="1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49" fontId="16" fillId="2" borderId="12" xfId="2" applyNumberFormat="1" applyFont="1" applyFill="1" applyBorder="1" applyAlignment="1">
      <alignment horizontal="center" vertical="center"/>
    </xf>
    <xf numFmtId="49" fontId="16" fillId="2" borderId="12" xfId="2" applyNumberFormat="1" applyFont="1" applyFill="1" applyBorder="1" applyAlignment="1">
      <alignment horizontal="left" vertical="center" wrapText="1"/>
    </xf>
    <xf numFmtId="49" fontId="15" fillId="2" borderId="12" xfId="2" applyNumberFormat="1" applyFont="1" applyFill="1" applyBorder="1" applyAlignment="1">
      <alignment horizontal="left" vertical="center"/>
    </xf>
    <xf numFmtId="0" fontId="14" fillId="2" borderId="23" xfId="2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/>
    </xf>
    <xf numFmtId="49" fontId="14" fillId="2" borderId="24" xfId="2" applyNumberFormat="1" applyFont="1" applyFill="1" applyBorder="1" applyAlignment="1">
      <alignment horizontal="center" vertical="center"/>
    </xf>
    <xf numFmtId="49" fontId="14" fillId="2" borderId="24" xfId="2" applyNumberFormat="1" applyFont="1" applyFill="1" applyBorder="1" applyAlignment="1">
      <alignment horizontal="left" vertical="center" wrapText="1"/>
    </xf>
    <xf numFmtId="4" fontId="14" fillId="2" borderId="24" xfId="2" applyNumberFormat="1" applyFont="1" applyFill="1" applyBorder="1" applyAlignment="1">
      <alignment horizontal="right" vertical="center"/>
    </xf>
    <xf numFmtId="4" fontId="14" fillId="2" borderId="21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left"/>
    </xf>
    <xf numFmtId="0" fontId="14" fillId="2" borderId="26" xfId="2" applyFont="1" applyFill="1" applyBorder="1" applyAlignment="1">
      <alignment horizontal="left" vertical="center"/>
    </xf>
    <xf numFmtId="49" fontId="16" fillId="2" borderId="26" xfId="2" applyNumberFormat="1" applyFont="1" applyFill="1" applyBorder="1" applyAlignment="1">
      <alignment horizontal="left" vertical="center" wrapText="1"/>
    </xf>
    <xf numFmtId="4" fontId="9" fillId="2" borderId="26" xfId="2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horizontal="left" wrapText="1"/>
    </xf>
    <xf numFmtId="4" fontId="9" fillId="2" borderId="25" xfId="2" applyNumberFormat="1" applyFont="1" applyFill="1" applyBorder="1" applyAlignment="1">
      <alignment horizontal="right" vertical="center"/>
    </xf>
    <xf numFmtId="4" fontId="9" fillId="2" borderId="11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29" fillId="2" borderId="0" xfId="0" applyFont="1" applyFill="1" applyAlignment="1">
      <alignment horizontal="left"/>
    </xf>
    <xf numFmtId="49" fontId="30" fillId="2" borderId="11" xfId="0" applyNumberFormat="1" applyFont="1" applyFill="1" applyBorder="1" applyAlignment="1">
      <alignment horizontal="center" vertical="center" wrapText="1"/>
    </xf>
    <xf numFmtId="49" fontId="30" fillId="2" borderId="11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49" fontId="32" fillId="2" borderId="0" xfId="0" applyNumberFormat="1" applyFont="1" applyFill="1" applyAlignment="1">
      <alignment horizontal="left" vertical="center"/>
    </xf>
    <xf numFmtId="0" fontId="29" fillId="2" borderId="0" xfId="0" applyFont="1" applyFill="1" applyAlignment="1">
      <alignment horizontal="right" vertical="center"/>
    </xf>
    <xf numFmtId="49" fontId="31" fillId="2" borderId="12" xfId="0" applyNumberFormat="1" applyFont="1" applyFill="1" applyBorder="1" applyAlignment="1">
      <alignment horizontal="center" vertical="center"/>
    </xf>
    <xf numFmtId="49" fontId="31" fillId="2" borderId="12" xfId="0" applyNumberFormat="1" applyFont="1" applyFill="1" applyBorder="1" applyAlignment="1">
      <alignment horizontal="left" vertical="center"/>
    </xf>
    <xf numFmtId="49" fontId="32" fillId="2" borderId="12" xfId="0" applyNumberFormat="1" applyFont="1" applyFill="1" applyBorder="1" applyAlignment="1">
      <alignment horizontal="left" vertical="center"/>
    </xf>
    <xf numFmtId="0" fontId="29" fillId="2" borderId="12" xfId="0" applyFont="1" applyFill="1" applyBorder="1" applyAlignment="1">
      <alignment horizontal="right" vertical="center"/>
    </xf>
    <xf numFmtId="49" fontId="29" fillId="2" borderId="24" xfId="0" applyNumberFormat="1" applyFont="1" applyFill="1" applyBorder="1" applyAlignment="1">
      <alignment horizontal="center" vertical="center"/>
    </xf>
    <xf numFmtId="49" fontId="29" fillId="2" borderId="24" xfId="0" applyNumberFormat="1" applyFont="1" applyFill="1" applyBorder="1" applyAlignment="1">
      <alignment horizontal="left" vertical="center" wrapText="1"/>
    </xf>
    <xf numFmtId="4" fontId="29" fillId="2" borderId="24" xfId="0" applyNumberFormat="1" applyFont="1" applyFill="1" applyBorder="1" applyAlignment="1">
      <alignment horizontal="right" vertical="center"/>
    </xf>
    <xf numFmtId="0" fontId="29" fillId="2" borderId="27" xfId="0" applyFont="1" applyFill="1" applyBorder="1" applyAlignment="1">
      <alignment horizontal="left" vertical="center"/>
    </xf>
    <xf numFmtId="49" fontId="31" fillId="2" borderId="26" xfId="0" applyNumberFormat="1" applyFont="1" applyFill="1" applyBorder="1" applyAlignment="1">
      <alignment horizontal="left" vertical="center"/>
    </xf>
    <xf numFmtId="4" fontId="30" fillId="2" borderId="26" xfId="0" applyNumberFormat="1" applyFont="1" applyFill="1" applyBorder="1" applyAlignment="1">
      <alignment horizontal="right" vertical="center"/>
    </xf>
    <xf numFmtId="0" fontId="31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left" vertical="center"/>
    </xf>
    <xf numFmtId="4" fontId="30" fillId="2" borderId="11" xfId="0" applyNumberFormat="1" applyFont="1" applyFill="1" applyBorder="1" applyAlignment="1">
      <alignment horizontal="right" vertical="center"/>
    </xf>
    <xf numFmtId="0" fontId="29" fillId="2" borderId="26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" fontId="8" fillId="2" borderId="24" xfId="0" applyNumberFormat="1" applyFont="1" applyFill="1" applyBorder="1" applyAlignment="1">
      <alignment horizontal="right" vertical="center"/>
    </xf>
    <xf numFmtId="49" fontId="5" fillId="2" borderId="28" xfId="0" applyNumberFormat="1" applyFont="1" applyFill="1" applyBorder="1" applyAlignment="1">
      <alignment horizontal="left" vertical="center"/>
    </xf>
    <xf numFmtId="4" fontId="3" fillId="2" borderId="29" xfId="0" applyNumberFormat="1" applyFont="1" applyFill="1" applyBorder="1" applyAlignment="1">
      <alignment horizontal="right" vertical="center"/>
    </xf>
    <xf numFmtId="4" fontId="4" fillId="2" borderId="30" xfId="0" applyNumberFormat="1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4" fontId="30" fillId="2" borderId="3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32" xfId="0" applyFont="1" applyFill="1" applyBorder="1" applyAlignment="1">
      <alignment horizontal="center" vertical="center" wrapText="1"/>
    </xf>
    <xf numFmtId="49" fontId="9" fillId="2" borderId="3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49" fontId="9" fillId="2" borderId="33" xfId="0" applyNumberFormat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vertical="center" wrapText="1"/>
    </xf>
    <xf numFmtId="49" fontId="9" fillId="2" borderId="34" xfId="0" applyNumberFormat="1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49" fontId="9" fillId="2" borderId="24" xfId="0" applyNumberFormat="1" applyFont="1" applyFill="1" applyBorder="1" applyAlignment="1">
      <alignment horizontal="center" vertical="center"/>
    </xf>
    <xf numFmtId="49" fontId="9" fillId="2" borderId="24" xfId="0" applyNumberFormat="1" applyFont="1" applyFill="1" applyBorder="1" applyAlignment="1">
      <alignment horizontal="left" vertical="center" wrapText="1"/>
    </xf>
    <xf numFmtId="49" fontId="14" fillId="2" borderId="24" xfId="0" applyNumberFormat="1" applyFont="1" applyFill="1" applyBorder="1" applyAlignment="1">
      <alignment horizontal="center" vertical="center"/>
    </xf>
    <xf numFmtId="49" fontId="14" fillId="2" borderId="24" xfId="0" applyNumberFormat="1" applyFont="1" applyFill="1" applyBorder="1" applyAlignment="1">
      <alignment horizontal="left" vertical="center" wrapText="1"/>
    </xf>
    <xf numFmtId="0" fontId="14" fillId="2" borderId="24" xfId="0" applyFont="1" applyFill="1" applyBorder="1" applyAlignment="1">
      <alignment horizontal="right" vertical="center"/>
    </xf>
    <xf numFmtId="0" fontId="16" fillId="2" borderId="24" xfId="0" applyFont="1" applyFill="1" applyBorder="1" applyAlignment="1">
      <alignment horizontal="right" vertical="center" wrapText="1"/>
    </xf>
    <xf numFmtId="49" fontId="9" fillId="2" borderId="26" xfId="0" applyNumberFormat="1" applyFont="1" applyFill="1" applyBorder="1" applyAlignment="1">
      <alignment horizontal="center" vertical="center"/>
    </xf>
    <xf numFmtId="49" fontId="16" fillId="2" borderId="26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4" fontId="14" fillId="2" borderId="0" xfId="0" applyNumberFormat="1" applyFont="1" applyFill="1" applyAlignment="1">
      <alignment horizontal="left"/>
    </xf>
    <xf numFmtId="49" fontId="16" fillId="2" borderId="24" xfId="0" applyNumberFormat="1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right" vertical="center"/>
    </xf>
    <xf numFmtId="49" fontId="16" fillId="2" borderId="35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4" fontId="9" fillId="2" borderId="18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21" fillId="2" borderId="18" xfId="0" applyFont="1" applyFill="1" applyBorder="1" applyAlignment="1">
      <alignment horizontal="center" vertical="center"/>
    </xf>
    <xf numFmtId="49" fontId="21" fillId="2" borderId="35" xfId="0" applyNumberFormat="1" applyFont="1" applyFill="1" applyBorder="1" applyAlignment="1">
      <alignment horizontal="left" vertical="center"/>
    </xf>
    <xf numFmtId="49" fontId="24" fillId="2" borderId="0" xfId="0" applyNumberFormat="1" applyFont="1" applyFill="1" applyAlignment="1">
      <alignment horizontal="left"/>
    </xf>
    <xf numFmtId="49" fontId="26" fillId="2" borderId="0" xfId="0" applyNumberFormat="1" applyFont="1" applyFill="1" applyAlignment="1">
      <alignment horizontal="left"/>
    </xf>
    <xf numFmtId="49" fontId="27" fillId="2" borderId="24" xfId="0" applyNumberFormat="1" applyFont="1" applyFill="1" applyBorder="1" applyAlignment="1">
      <alignment horizontal="center" vertical="center"/>
    </xf>
    <xf numFmtId="49" fontId="27" fillId="2" borderId="29" xfId="0" applyNumberFormat="1" applyFont="1" applyFill="1" applyBorder="1" applyAlignment="1">
      <alignment horizontal="left" vertical="center"/>
    </xf>
    <xf numFmtId="179" fontId="33" fillId="2" borderId="0" xfId="1" applyFont="1" applyFill="1" applyAlignment="1">
      <alignment horizontal="left"/>
    </xf>
    <xf numFmtId="0" fontId="26" fillId="2" borderId="0" xfId="0" applyFont="1" applyFill="1" applyAlignment="1">
      <alignment horizontal="left"/>
    </xf>
    <xf numFmtId="179" fontId="14" fillId="2" borderId="0" xfId="1" applyFont="1" applyFill="1" applyAlignment="1">
      <alignment horizontal="left"/>
    </xf>
    <xf numFmtId="49" fontId="26" fillId="2" borderId="0" xfId="0" applyNumberFormat="1" applyFont="1" applyFill="1" applyAlignment="1">
      <alignment horizontal="left" vertical="center"/>
    </xf>
    <xf numFmtId="49" fontId="21" fillId="2" borderId="26" xfId="0" applyNumberFormat="1" applyFont="1" applyFill="1" applyBorder="1" applyAlignment="1">
      <alignment horizontal="center" vertical="center"/>
    </xf>
    <xf numFmtId="179" fontId="3" fillId="2" borderId="0" xfId="1" applyFont="1" applyFill="1" applyAlignment="1">
      <alignment horizontal="left"/>
    </xf>
    <xf numFmtId="49" fontId="21" fillId="2" borderId="12" xfId="0" applyNumberFormat="1" applyFont="1" applyFill="1" applyBorder="1" applyAlignment="1">
      <alignment horizontal="left" vertical="center"/>
    </xf>
    <xf numFmtId="49" fontId="27" fillId="2" borderId="24" xfId="0" applyNumberFormat="1" applyFont="1" applyFill="1" applyBorder="1" applyAlignment="1">
      <alignment horizontal="left" vertical="center"/>
    </xf>
    <xf numFmtId="49" fontId="21" fillId="2" borderId="26" xfId="0" applyNumberFormat="1" applyFont="1" applyFill="1" applyBorder="1" applyAlignment="1">
      <alignment horizontal="left" vertical="center"/>
    </xf>
    <xf numFmtId="49" fontId="21" fillId="2" borderId="0" xfId="0" applyNumberFormat="1" applyFont="1" applyFill="1" applyBorder="1" applyAlignment="1">
      <alignment horizontal="center" vertical="center"/>
    </xf>
    <xf numFmtId="49" fontId="21" fillId="2" borderId="0" xfId="0" applyNumberFormat="1" applyFont="1" applyFill="1" applyBorder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right" vertical="center"/>
    </xf>
    <xf numFmtId="0" fontId="22" fillId="2" borderId="18" xfId="0" applyFont="1" applyFill="1" applyBorder="1" applyAlignment="1">
      <alignment horizontal="right" vertical="center"/>
    </xf>
    <xf numFmtId="49" fontId="22" fillId="2" borderId="35" xfId="0" applyNumberFormat="1" applyFont="1" applyFill="1" applyBorder="1" applyAlignment="1">
      <alignment horizontal="right" vertical="center"/>
    </xf>
    <xf numFmtId="0" fontId="3" fillId="2" borderId="0" xfId="2" applyFont="1" applyFill="1" applyBorder="1" applyAlignment="1">
      <alignment horizontal="left" vertical="center"/>
    </xf>
    <xf numFmtId="49" fontId="6" fillId="2" borderId="0" xfId="2" applyNumberFormat="1" applyFont="1" applyFill="1" applyBorder="1" applyAlignment="1">
      <alignment horizontal="left" vertical="center" wrapText="1"/>
    </xf>
    <xf numFmtId="4" fontId="4" fillId="2" borderId="0" xfId="2" applyNumberFormat="1" applyFont="1" applyFill="1" applyBorder="1" applyAlignment="1">
      <alignment horizontal="right" vertical="center"/>
    </xf>
    <xf numFmtId="49" fontId="5" fillId="2" borderId="36" xfId="2" applyNumberFormat="1" applyFont="1" applyFill="1" applyBorder="1" applyAlignment="1">
      <alignment horizontal="left" vertical="center"/>
    </xf>
    <xf numFmtId="0" fontId="3" fillId="2" borderId="37" xfId="2" applyFont="1" applyFill="1" applyBorder="1" applyAlignment="1">
      <alignment horizontal="left" vertical="center"/>
    </xf>
    <xf numFmtId="4" fontId="14" fillId="2" borderId="22" xfId="0" applyNumberFormat="1" applyFont="1" applyFill="1" applyBorder="1" applyAlignment="1">
      <alignment vertical="center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right" wrapText="1"/>
    </xf>
    <xf numFmtId="4" fontId="4" fillId="2" borderId="9" xfId="0" applyNumberFormat="1" applyFont="1" applyFill="1" applyBorder="1" applyAlignment="1">
      <alignment horizontal="right" vertical="center"/>
    </xf>
    <xf numFmtId="49" fontId="21" fillId="2" borderId="30" xfId="0" applyNumberFormat="1" applyFont="1" applyFill="1" applyBorder="1" applyAlignment="1">
      <alignment horizontal="left" vertical="center"/>
    </xf>
    <xf numFmtId="4" fontId="21" fillId="2" borderId="9" xfId="0" applyNumberFormat="1" applyFont="1" applyFill="1" applyBorder="1" applyAlignment="1">
      <alignment horizontal="right" vertical="center"/>
    </xf>
    <xf numFmtId="49" fontId="21" fillId="2" borderId="28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21" fillId="2" borderId="1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30" fillId="2" borderId="11" xfId="0" applyNumberFormat="1" applyFont="1" applyFill="1" applyBorder="1" applyAlignment="1">
      <alignment horizontal="center" vertical="center"/>
    </xf>
    <xf numFmtId="4" fontId="14" fillId="3" borderId="24" xfId="2" applyNumberFormat="1" applyFont="1" applyFill="1" applyBorder="1" applyAlignment="1">
      <alignment horizontal="right" vertical="center"/>
    </xf>
    <xf numFmtId="4" fontId="3" fillId="3" borderId="24" xfId="2" applyNumberFormat="1" applyFont="1" applyFill="1" applyBorder="1" applyAlignment="1">
      <alignment horizontal="right" vertical="center"/>
    </xf>
    <xf numFmtId="49" fontId="5" fillId="3" borderId="12" xfId="0" applyNumberFormat="1" applyFont="1" applyFill="1" applyBorder="1" applyAlignment="1">
      <alignment horizontal="left" vertical="center"/>
    </xf>
    <xf numFmtId="4" fontId="27" fillId="3" borderId="6" xfId="0" applyNumberFormat="1" applyFont="1" applyFill="1" applyBorder="1" applyAlignment="1">
      <alignment horizontal="right" vertical="center"/>
    </xf>
    <xf numFmtId="4" fontId="14" fillId="2" borderId="38" xfId="0" applyNumberFormat="1" applyFont="1" applyFill="1" applyBorder="1" applyAlignment="1">
      <alignment vertical="center"/>
    </xf>
    <xf numFmtId="49" fontId="9" fillId="2" borderId="22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9" fillId="2" borderId="34" xfId="0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49" fontId="22" fillId="2" borderId="11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wrapText="1"/>
    </xf>
    <xf numFmtId="49" fontId="21" fillId="2" borderId="1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top" wrapText="1"/>
    </xf>
    <xf numFmtId="49" fontId="4" fillId="2" borderId="28" xfId="2" applyNumberFormat="1" applyFont="1" applyFill="1" applyBorder="1" applyAlignment="1">
      <alignment horizontal="center" vertical="center"/>
    </xf>
    <xf numFmtId="49" fontId="4" fillId="2" borderId="23" xfId="2" applyNumberFormat="1" applyFont="1" applyFill="1" applyBorder="1" applyAlignment="1">
      <alignment horizontal="center" vertical="center"/>
    </xf>
    <xf numFmtId="49" fontId="4" fillId="2" borderId="30" xfId="2" applyNumberFormat="1" applyFont="1" applyFill="1" applyBorder="1" applyAlignment="1">
      <alignment horizontal="center" vertical="center"/>
    </xf>
    <xf numFmtId="49" fontId="4" fillId="2" borderId="25" xfId="2" applyNumberFormat="1" applyFont="1" applyFill="1" applyBorder="1" applyAlignment="1">
      <alignment horizontal="center" vertical="center"/>
    </xf>
    <xf numFmtId="49" fontId="6" fillId="2" borderId="18" xfId="2" applyNumberFormat="1" applyFont="1" applyFill="1" applyBorder="1" applyAlignment="1">
      <alignment horizontal="right" vertical="center"/>
    </xf>
    <xf numFmtId="49" fontId="6" fillId="2" borderId="35" xfId="2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top" wrapText="1"/>
    </xf>
    <xf numFmtId="49" fontId="9" fillId="2" borderId="28" xfId="2" applyNumberFormat="1" applyFont="1" applyFill="1" applyBorder="1" applyAlignment="1">
      <alignment horizontal="center" vertical="center"/>
    </xf>
    <xf numFmtId="49" fontId="9" fillId="2" borderId="23" xfId="2" applyNumberFormat="1" applyFont="1" applyFill="1" applyBorder="1" applyAlignment="1">
      <alignment horizontal="center" vertical="center"/>
    </xf>
    <xf numFmtId="49" fontId="9" fillId="2" borderId="30" xfId="2" applyNumberFormat="1" applyFont="1" applyFill="1" applyBorder="1" applyAlignment="1">
      <alignment horizontal="center" vertical="center"/>
    </xf>
    <xf numFmtId="49" fontId="9" fillId="2" borderId="25" xfId="2" applyNumberFormat="1" applyFont="1" applyFill="1" applyBorder="1" applyAlignment="1">
      <alignment horizontal="center" vertical="center"/>
    </xf>
    <xf numFmtId="49" fontId="16" fillId="2" borderId="18" xfId="2" applyNumberFormat="1" applyFont="1" applyFill="1" applyBorder="1" applyAlignment="1">
      <alignment horizontal="right" vertical="center"/>
    </xf>
    <xf numFmtId="49" fontId="16" fillId="2" borderId="35" xfId="2" applyNumberFormat="1" applyFont="1" applyFill="1" applyBorder="1" applyAlignment="1">
      <alignment horizontal="right" vertical="center"/>
    </xf>
    <xf numFmtId="49" fontId="30" fillId="2" borderId="11" xfId="0" applyNumberFormat="1" applyFont="1" applyFill="1" applyBorder="1" applyAlignment="1">
      <alignment horizontal="center" vertical="center"/>
    </xf>
    <xf numFmtId="49" fontId="31" fillId="2" borderId="1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82"/>
  <sheetViews>
    <sheetView topLeftCell="A25" zoomScale="90" zoomScaleNormal="90" zoomScaleSheetLayoutView="110" workbookViewId="0">
      <selection activeCell="E72" sqref="E72:F72"/>
    </sheetView>
  </sheetViews>
  <sheetFormatPr defaultRowHeight="12.75" x14ac:dyDescent="0.2"/>
  <cols>
    <col min="1" max="1" width="1.42578125" style="6" customWidth="1"/>
    <col min="2" max="2" width="2.28515625" style="6" customWidth="1"/>
    <col min="3" max="3" width="12.28515625" style="6" customWidth="1"/>
    <col min="4" max="4" width="3.85546875" style="6" customWidth="1"/>
    <col min="5" max="5" width="70.42578125" style="46" customWidth="1"/>
    <col min="6" max="8" width="29.28515625" style="6" customWidth="1"/>
    <col min="9" max="9" width="9.140625" style="6"/>
    <col min="10" max="10" width="19.7109375" style="6" customWidth="1"/>
    <col min="11" max="11" width="13.28515625" style="6" customWidth="1"/>
    <col min="12" max="16384" width="9.140625" style="6"/>
  </cols>
  <sheetData>
    <row r="1" spans="1:10" ht="15" x14ac:dyDescent="0.2">
      <c r="H1" s="17" t="s">
        <v>256</v>
      </c>
    </row>
    <row r="2" spans="1:10" s="3" customFormat="1" ht="30" customHeight="1" x14ac:dyDescent="0.2">
      <c r="C2" s="261" t="s">
        <v>205</v>
      </c>
      <c r="D2" s="261"/>
      <c r="E2" s="261"/>
      <c r="F2" s="261"/>
      <c r="G2" s="261"/>
      <c r="H2" s="261"/>
    </row>
    <row r="3" spans="1:10" s="3" customFormat="1" ht="54.75" customHeight="1" x14ac:dyDescent="0.2">
      <c r="A3" s="181"/>
      <c r="B3" s="181"/>
      <c r="C3" s="182" t="s">
        <v>206</v>
      </c>
      <c r="D3" s="182"/>
      <c r="E3" s="183" t="s">
        <v>89</v>
      </c>
      <c r="F3" s="1" t="s">
        <v>228</v>
      </c>
      <c r="G3" s="1" t="s">
        <v>238</v>
      </c>
      <c r="H3" s="1" t="s">
        <v>248</v>
      </c>
      <c r="J3" s="3" t="s">
        <v>233</v>
      </c>
    </row>
    <row r="4" spans="1:10" s="3" customFormat="1" ht="25.5" customHeight="1" x14ac:dyDescent="0.2">
      <c r="A4" s="181"/>
      <c r="B4" s="181"/>
      <c r="C4" s="182"/>
      <c r="D4" s="182"/>
      <c r="E4" s="183"/>
      <c r="F4" s="2" t="s">
        <v>8</v>
      </c>
      <c r="G4" s="2" t="s">
        <v>8</v>
      </c>
      <c r="H4" s="7" t="s">
        <v>8</v>
      </c>
    </row>
    <row r="5" spans="1:10" s="3" customFormat="1" x14ac:dyDescent="0.2">
      <c r="E5" s="184"/>
      <c r="H5" s="8"/>
    </row>
    <row r="6" spans="1:10" s="3" customFormat="1" x14ac:dyDescent="0.2">
      <c r="A6" s="185"/>
      <c r="B6" s="185"/>
      <c r="C6" s="254" t="s">
        <v>88</v>
      </c>
      <c r="D6" s="254"/>
      <c r="E6" s="186" t="s">
        <v>90</v>
      </c>
      <c r="F6" s="237">
        <f>187523.32</f>
        <v>187523.32</v>
      </c>
      <c r="G6" s="237">
        <v>0</v>
      </c>
      <c r="H6" s="28">
        <v>0</v>
      </c>
    </row>
    <row r="7" spans="1:10" s="3" customFormat="1" x14ac:dyDescent="0.2">
      <c r="C7" s="255"/>
      <c r="D7" s="255"/>
      <c r="E7" s="187" t="s">
        <v>91</v>
      </c>
      <c r="F7" s="29">
        <f>548259.72+354973.24</f>
        <v>903232.96</v>
      </c>
      <c r="G7" s="29">
        <v>0</v>
      </c>
      <c r="H7" s="30">
        <v>0</v>
      </c>
    </row>
    <row r="8" spans="1:10" s="3" customFormat="1" ht="22.5" customHeight="1" x14ac:dyDescent="0.2">
      <c r="C8" s="256"/>
      <c r="D8" s="256"/>
      <c r="E8" s="188" t="s">
        <v>239</v>
      </c>
      <c r="F8" s="253">
        <f>4979142.52+2070494.38</f>
        <v>7049636.8999999994</v>
      </c>
      <c r="G8" s="15"/>
      <c r="H8" s="16"/>
    </row>
    <row r="9" spans="1:10" s="3" customFormat="1" x14ac:dyDescent="0.2">
      <c r="E9" s="184"/>
      <c r="G9" s="10"/>
      <c r="H9" s="8"/>
    </row>
    <row r="10" spans="1:10" s="3" customFormat="1" x14ac:dyDescent="0.2">
      <c r="A10" s="257"/>
      <c r="B10" s="257"/>
      <c r="C10" s="189"/>
      <c r="D10" s="189"/>
      <c r="E10" s="190" t="s">
        <v>92</v>
      </c>
      <c r="F10" s="26"/>
      <c r="G10" s="11"/>
      <c r="H10" s="11"/>
    </row>
    <row r="11" spans="1:10" s="3" customFormat="1" x14ac:dyDescent="0.2">
      <c r="A11" s="257"/>
      <c r="B11" s="257"/>
      <c r="C11" s="191"/>
      <c r="D11" s="191"/>
      <c r="E11" s="192"/>
      <c r="F11" s="27"/>
      <c r="G11" s="12"/>
      <c r="H11" s="12"/>
    </row>
    <row r="12" spans="1:10" s="3" customFormat="1" x14ac:dyDescent="0.2">
      <c r="A12" s="257"/>
      <c r="B12" s="257"/>
      <c r="C12" s="193" t="s">
        <v>93</v>
      </c>
      <c r="D12" s="193"/>
      <c r="E12" s="194" t="s">
        <v>94</v>
      </c>
      <c r="F12" s="31">
        <f>F13+F14+F15</f>
        <v>22585650.120000001</v>
      </c>
      <c r="G12" s="31">
        <f>G13+G14+G15</f>
        <v>22684990.07</v>
      </c>
      <c r="H12" s="31">
        <f>H13+H14+H15</f>
        <v>22590146.07</v>
      </c>
    </row>
    <row r="13" spans="1:10" s="3" customFormat="1" x14ac:dyDescent="0.2">
      <c r="A13" s="258" t="s">
        <v>95</v>
      </c>
      <c r="B13" s="258"/>
      <c r="C13" s="195" t="s">
        <v>96</v>
      </c>
      <c r="D13" s="195"/>
      <c r="E13" s="196" t="s">
        <v>97</v>
      </c>
      <c r="F13" s="32">
        <v>172676.07</v>
      </c>
      <c r="G13" s="33">
        <v>172676.07</v>
      </c>
      <c r="H13" s="29">
        <v>172676.07</v>
      </c>
    </row>
    <row r="14" spans="1:10" s="3" customFormat="1" x14ac:dyDescent="0.2">
      <c r="A14" s="259"/>
      <c r="B14" s="259"/>
      <c r="C14" s="195" t="s">
        <v>98</v>
      </c>
      <c r="D14" s="195"/>
      <c r="E14" s="196" t="s">
        <v>99</v>
      </c>
      <c r="F14" s="34">
        <f>14500+10750</f>
        <v>25250</v>
      </c>
      <c r="G14" s="29">
        <v>12500</v>
      </c>
      <c r="H14" s="29">
        <v>12500</v>
      </c>
    </row>
    <row r="15" spans="1:10" s="3" customFormat="1" x14ac:dyDescent="0.2">
      <c r="A15" s="259"/>
      <c r="B15" s="259"/>
      <c r="C15" s="195" t="s">
        <v>100</v>
      </c>
      <c r="D15" s="195"/>
      <c r="E15" s="196" t="s">
        <v>101</v>
      </c>
      <c r="F15" s="32">
        <f>22340114+5290+42320.05</f>
        <v>22387724.050000001</v>
      </c>
      <c r="G15" s="33">
        <v>22499814</v>
      </c>
      <c r="H15" s="33">
        <v>22404970</v>
      </c>
    </row>
    <row r="16" spans="1:10" s="3" customFormat="1" x14ac:dyDescent="0.2">
      <c r="A16" s="260"/>
      <c r="B16" s="260"/>
      <c r="C16" s="197"/>
      <c r="D16" s="197"/>
      <c r="E16" s="198"/>
      <c r="F16" s="35"/>
      <c r="G16" s="36"/>
      <c r="H16" s="36"/>
    </row>
    <row r="17" spans="1:8" s="3" customFormat="1" x14ac:dyDescent="0.2">
      <c r="A17" s="257"/>
      <c r="B17" s="257"/>
      <c r="C17" s="193" t="s">
        <v>102</v>
      </c>
      <c r="D17" s="193"/>
      <c r="E17" s="194" t="s">
        <v>103</v>
      </c>
      <c r="F17" s="37">
        <f>SUM(F18)</f>
        <v>5500</v>
      </c>
      <c r="G17" s="38">
        <v>0</v>
      </c>
      <c r="H17" s="38">
        <v>0</v>
      </c>
    </row>
    <row r="18" spans="1:8" s="3" customFormat="1" x14ac:dyDescent="0.2">
      <c r="A18" s="259"/>
      <c r="B18" s="259"/>
      <c r="C18" s="195" t="s">
        <v>104</v>
      </c>
      <c r="D18" s="195"/>
      <c r="E18" s="196" t="s">
        <v>105</v>
      </c>
      <c r="F18" s="34">
        <v>5500</v>
      </c>
      <c r="G18" s="29">
        <v>0</v>
      </c>
      <c r="H18" s="29">
        <v>0</v>
      </c>
    </row>
    <row r="19" spans="1:8" s="3" customFormat="1" x14ac:dyDescent="0.2">
      <c r="A19" s="260"/>
      <c r="B19" s="260"/>
      <c r="C19" s="197"/>
      <c r="D19" s="197"/>
      <c r="E19" s="198"/>
      <c r="F19" s="35"/>
      <c r="G19" s="36"/>
      <c r="H19" s="36"/>
    </row>
    <row r="20" spans="1:8" s="3" customFormat="1" x14ac:dyDescent="0.2">
      <c r="A20" s="259"/>
      <c r="B20" s="259"/>
      <c r="C20" s="199" t="s">
        <v>95</v>
      </c>
      <c r="D20" s="199"/>
      <c r="E20" s="200" t="s">
        <v>106</v>
      </c>
      <c r="F20" s="39">
        <f>F17+F12</f>
        <v>22591150.120000001</v>
      </c>
      <c r="G20" s="40">
        <f>G17+G12</f>
        <v>22684990.07</v>
      </c>
      <c r="H20" s="40">
        <f>H17+H12</f>
        <v>22590146.07</v>
      </c>
    </row>
    <row r="21" spans="1:8" s="3" customFormat="1" x14ac:dyDescent="0.2">
      <c r="A21" s="259"/>
      <c r="B21" s="259"/>
      <c r="E21" s="201"/>
      <c r="F21" s="4"/>
      <c r="G21" s="13"/>
      <c r="H21" s="8"/>
    </row>
    <row r="22" spans="1:8" s="3" customFormat="1" x14ac:dyDescent="0.2">
      <c r="A22" s="257"/>
      <c r="B22" s="257"/>
      <c r="C22" s="189"/>
      <c r="D22" s="189"/>
      <c r="E22" s="190" t="s">
        <v>107</v>
      </c>
      <c r="F22" s="26"/>
      <c r="G22" s="11"/>
      <c r="H22" s="11"/>
    </row>
    <row r="23" spans="1:8" s="3" customFormat="1" x14ac:dyDescent="0.2">
      <c r="A23" s="257"/>
      <c r="B23" s="257"/>
      <c r="C23" s="191"/>
      <c r="D23" s="191"/>
      <c r="E23" s="192"/>
      <c r="F23" s="27"/>
      <c r="G23" s="12"/>
      <c r="H23" s="12"/>
    </row>
    <row r="24" spans="1:8" s="3" customFormat="1" ht="25.5" x14ac:dyDescent="0.2">
      <c r="A24" s="257"/>
      <c r="B24" s="257"/>
      <c r="C24" s="193" t="s">
        <v>108</v>
      </c>
      <c r="D24" s="193"/>
      <c r="E24" s="194" t="s">
        <v>109</v>
      </c>
      <c r="F24" s="37">
        <f>F25+F26</f>
        <v>2000</v>
      </c>
      <c r="G24" s="38">
        <f>G25+G26</f>
        <v>2000</v>
      </c>
      <c r="H24" s="38">
        <f>H25+H26</f>
        <v>2000</v>
      </c>
    </row>
    <row r="25" spans="1:8" s="3" customFormat="1" x14ac:dyDescent="0.2">
      <c r="A25" s="258" t="s">
        <v>110</v>
      </c>
      <c r="B25" s="258"/>
      <c r="C25" s="195" t="s">
        <v>111</v>
      </c>
      <c r="D25" s="195"/>
      <c r="E25" s="196" t="s">
        <v>112</v>
      </c>
      <c r="F25" s="34">
        <v>2000</v>
      </c>
      <c r="G25" s="29">
        <v>2000</v>
      </c>
      <c r="H25" s="29">
        <v>2000</v>
      </c>
    </row>
    <row r="26" spans="1:8" s="3" customFormat="1" x14ac:dyDescent="0.2">
      <c r="A26" s="259"/>
      <c r="B26" s="259"/>
      <c r="C26" s="195" t="s">
        <v>113</v>
      </c>
      <c r="D26" s="195"/>
      <c r="E26" s="196" t="s">
        <v>114</v>
      </c>
      <c r="F26" s="34">
        <v>0</v>
      </c>
      <c r="G26" s="29">
        <v>0</v>
      </c>
      <c r="H26" s="29">
        <v>0</v>
      </c>
    </row>
    <row r="27" spans="1:8" s="3" customFormat="1" x14ac:dyDescent="0.2">
      <c r="A27" s="260"/>
      <c r="B27" s="260"/>
      <c r="C27" s="197"/>
      <c r="D27" s="197"/>
      <c r="E27" s="198"/>
      <c r="F27" s="35"/>
      <c r="G27" s="36"/>
      <c r="H27" s="36"/>
    </row>
    <row r="28" spans="1:8" s="3" customFormat="1" ht="25.5" x14ac:dyDescent="0.2">
      <c r="A28" s="257"/>
      <c r="B28" s="257"/>
      <c r="C28" s="193" t="s">
        <v>115</v>
      </c>
      <c r="D28" s="193"/>
      <c r="E28" s="194" t="s">
        <v>116</v>
      </c>
      <c r="F28" s="37">
        <f>F29</f>
        <v>100</v>
      </c>
      <c r="G28" s="37">
        <f>G29</f>
        <v>100</v>
      </c>
      <c r="H28" s="37">
        <f>H29</f>
        <v>100</v>
      </c>
    </row>
    <row r="29" spans="1:8" s="3" customFormat="1" ht="25.5" x14ac:dyDescent="0.2">
      <c r="A29" s="259"/>
      <c r="B29" s="259"/>
      <c r="C29" s="195" t="s">
        <v>117</v>
      </c>
      <c r="D29" s="195"/>
      <c r="E29" s="196" t="s">
        <v>118</v>
      </c>
      <c r="F29" s="34">
        <v>100</v>
      </c>
      <c r="G29" s="29">
        <v>100</v>
      </c>
      <c r="H29" s="29">
        <v>100</v>
      </c>
    </row>
    <row r="30" spans="1:8" s="3" customFormat="1" x14ac:dyDescent="0.2">
      <c r="A30" s="260"/>
      <c r="B30" s="260"/>
      <c r="C30" s="197"/>
      <c r="D30" s="197"/>
      <c r="E30" s="198"/>
      <c r="F30" s="35"/>
      <c r="G30" s="36"/>
      <c r="H30" s="36"/>
    </row>
    <row r="31" spans="1:8" s="3" customFormat="1" x14ac:dyDescent="0.2">
      <c r="A31" s="257"/>
      <c r="B31" s="257"/>
      <c r="C31" s="193" t="s">
        <v>119</v>
      </c>
      <c r="D31" s="193"/>
      <c r="E31" s="194" t="s">
        <v>120</v>
      </c>
      <c r="F31" s="37">
        <f>F32</f>
        <v>33399.68</v>
      </c>
      <c r="G31" s="37">
        <f>G32</f>
        <v>20</v>
      </c>
      <c r="H31" s="37">
        <f>H32</f>
        <v>20</v>
      </c>
    </row>
    <row r="32" spans="1:8" s="3" customFormat="1" x14ac:dyDescent="0.2">
      <c r="A32" s="259"/>
      <c r="B32" s="259"/>
      <c r="C32" s="195" t="s">
        <v>121</v>
      </c>
      <c r="D32" s="195"/>
      <c r="E32" s="196" t="s">
        <v>122</v>
      </c>
      <c r="F32" s="34">
        <f>20+33379.68</f>
        <v>33399.68</v>
      </c>
      <c r="G32" s="29">
        <v>20</v>
      </c>
      <c r="H32" s="29">
        <v>20</v>
      </c>
    </row>
    <row r="33" spans="1:11" s="3" customFormat="1" x14ac:dyDescent="0.2">
      <c r="A33" s="260"/>
      <c r="B33" s="260"/>
      <c r="C33" s="197"/>
      <c r="D33" s="197"/>
      <c r="E33" s="198"/>
      <c r="F33" s="35"/>
      <c r="G33" s="36"/>
      <c r="H33" s="36"/>
    </row>
    <row r="34" spans="1:11" s="3" customFormat="1" x14ac:dyDescent="0.2">
      <c r="A34" s="257"/>
      <c r="B34" s="257"/>
      <c r="C34" s="193" t="s">
        <v>123</v>
      </c>
      <c r="D34" s="193"/>
      <c r="E34" s="194" t="s">
        <v>124</v>
      </c>
      <c r="F34" s="31">
        <f>F35+F36</f>
        <v>199719.41999999998</v>
      </c>
      <c r="G34" s="31">
        <f>G35+G36</f>
        <v>214097.66</v>
      </c>
      <c r="H34" s="31">
        <f>H35+H36</f>
        <v>220714.01</v>
      </c>
    </row>
    <row r="35" spans="1:11" s="3" customFormat="1" x14ac:dyDescent="0.2">
      <c r="A35" s="259"/>
      <c r="B35" s="259"/>
      <c r="C35" s="195" t="s">
        <v>125</v>
      </c>
      <c r="D35" s="195"/>
      <c r="E35" s="196" t="s">
        <v>126</v>
      </c>
      <c r="F35" s="32">
        <f>176216+17859.25-21491.83</f>
        <v>172583.41999999998</v>
      </c>
      <c r="G35" s="33">
        <v>182161.66</v>
      </c>
      <c r="H35" s="33">
        <v>188378.01</v>
      </c>
      <c r="J35" s="3" t="s">
        <v>88</v>
      </c>
      <c r="K35" s="202" t="s">
        <v>88</v>
      </c>
    </row>
    <row r="36" spans="1:11" s="3" customFormat="1" x14ac:dyDescent="0.2">
      <c r="A36" s="259"/>
      <c r="B36" s="259"/>
      <c r="C36" s="195" t="s">
        <v>127</v>
      </c>
      <c r="D36" s="195"/>
      <c r="E36" s="196" t="s">
        <v>128</v>
      </c>
      <c r="F36" s="32">
        <f>45236-18100</f>
        <v>27136</v>
      </c>
      <c r="G36" s="33">
        <v>31936</v>
      </c>
      <c r="H36" s="33">
        <v>32336</v>
      </c>
    </row>
    <row r="37" spans="1:11" s="3" customFormat="1" x14ac:dyDescent="0.2">
      <c r="A37" s="260"/>
      <c r="B37" s="260"/>
      <c r="C37" s="197"/>
      <c r="D37" s="197"/>
      <c r="E37" s="198"/>
      <c r="F37" s="35"/>
      <c r="G37" s="36"/>
      <c r="H37" s="36"/>
    </row>
    <row r="38" spans="1:11" s="3" customFormat="1" x14ac:dyDescent="0.2">
      <c r="A38" s="259"/>
      <c r="B38" s="259"/>
      <c r="C38" s="199" t="s">
        <v>110</v>
      </c>
      <c r="D38" s="199"/>
      <c r="E38" s="200" t="s">
        <v>129</v>
      </c>
      <c r="F38" s="39">
        <f>F34+F31+F28+F24</f>
        <v>235219.09999999998</v>
      </c>
      <c r="G38" s="40">
        <f>G34+G31+G28+G24</f>
        <v>216217.66</v>
      </c>
      <c r="H38" s="40">
        <f>H34+H31+H28+H24</f>
        <v>222834.01</v>
      </c>
    </row>
    <row r="39" spans="1:11" s="3" customFormat="1" x14ac:dyDescent="0.2">
      <c r="A39" s="259"/>
      <c r="B39" s="259"/>
      <c r="E39" s="201"/>
      <c r="F39" s="4"/>
      <c r="G39" s="13"/>
      <c r="H39" s="8"/>
    </row>
    <row r="40" spans="1:11" s="3" customFormat="1" x14ac:dyDescent="0.2">
      <c r="A40" s="257"/>
      <c r="B40" s="257"/>
      <c r="C40" s="189"/>
      <c r="D40" s="189"/>
      <c r="E40" s="190" t="s">
        <v>130</v>
      </c>
      <c r="F40" s="26"/>
      <c r="G40" s="11"/>
      <c r="H40" s="11"/>
    </row>
    <row r="41" spans="1:11" s="3" customFormat="1" x14ac:dyDescent="0.2">
      <c r="A41" s="257"/>
      <c r="B41" s="257"/>
      <c r="C41" s="191"/>
      <c r="D41" s="191"/>
      <c r="E41" s="192"/>
      <c r="F41" s="27"/>
      <c r="G41" s="12"/>
      <c r="H41" s="12"/>
    </row>
    <row r="42" spans="1:11" s="3" customFormat="1" x14ac:dyDescent="0.2">
      <c r="A42" s="257"/>
      <c r="B42" s="257"/>
      <c r="C42" s="193" t="s">
        <v>131</v>
      </c>
      <c r="D42" s="193"/>
      <c r="E42" s="194" t="s">
        <v>132</v>
      </c>
      <c r="F42" s="31">
        <f>F43</f>
        <v>1497886</v>
      </c>
      <c r="G42" s="31">
        <f>G43</f>
        <v>1238186</v>
      </c>
      <c r="H42" s="31">
        <f>H43</f>
        <v>733030</v>
      </c>
    </row>
    <row r="43" spans="1:11" s="3" customFormat="1" x14ac:dyDescent="0.2">
      <c r="A43" s="258" t="s">
        <v>133</v>
      </c>
      <c r="B43" s="258"/>
      <c r="C43" s="195" t="s">
        <v>134</v>
      </c>
      <c r="D43" s="195"/>
      <c r="E43" s="196" t="s">
        <v>135</v>
      </c>
      <c r="F43" s="32">
        <v>1497886</v>
      </c>
      <c r="G43" s="33">
        <v>1238186</v>
      </c>
      <c r="H43" s="33">
        <v>733030</v>
      </c>
    </row>
    <row r="44" spans="1:11" s="3" customFormat="1" x14ac:dyDescent="0.2">
      <c r="A44" s="260"/>
      <c r="B44" s="260"/>
      <c r="C44" s="197"/>
      <c r="D44" s="197"/>
      <c r="E44" s="198"/>
      <c r="F44" s="35"/>
      <c r="G44" s="36"/>
      <c r="H44" s="36"/>
    </row>
    <row r="45" spans="1:11" s="3" customFormat="1" x14ac:dyDescent="0.2">
      <c r="A45" s="257"/>
      <c r="B45" s="257"/>
      <c r="C45" s="193" t="s">
        <v>136</v>
      </c>
      <c r="D45" s="193"/>
      <c r="E45" s="194" t="s">
        <v>137</v>
      </c>
      <c r="F45" s="37">
        <f>F46</f>
        <v>0</v>
      </c>
      <c r="G45" s="37">
        <f>G46</f>
        <v>0</v>
      </c>
      <c r="H45" s="37">
        <f>H46</f>
        <v>0</v>
      </c>
    </row>
    <row r="46" spans="1:11" s="3" customFormat="1" x14ac:dyDescent="0.2">
      <c r="A46" s="259"/>
      <c r="B46" s="259"/>
      <c r="C46" s="195" t="s">
        <v>138</v>
      </c>
      <c r="D46" s="195"/>
      <c r="E46" s="196" t="s">
        <v>139</v>
      </c>
      <c r="F46" s="34">
        <v>0</v>
      </c>
      <c r="G46" s="29">
        <v>0</v>
      </c>
      <c r="H46" s="29">
        <v>0</v>
      </c>
    </row>
    <row r="47" spans="1:11" s="3" customFormat="1" x14ac:dyDescent="0.2">
      <c r="A47" s="260"/>
      <c r="B47" s="260"/>
      <c r="C47" s="197"/>
      <c r="D47" s="197"/>
      <c r="E47" s="198"/>
      <c r="F47" s="35"/>
      <c r="G47" s="36"/>
      <c r="H47" s="36"/>
    </row>
    <row r="48" spans="1:11" s="3" customFormat="1" x14ac:dyDescent="0.2">
      <c r="A48" s="257"/>
      <c r="B48" s="257"/>
      <c r="C48" s="193" t="s">
        <v>140</v>
      </c>
      <c r="D48" s="193"/>
      <c r="E48" s="194" t="s">
        <v>141</v>
      </c>
      <c r="F48" s="37">
        <f>F49+F50</f>
        <v>0</v>
      </c>
      <c r="G48" s="37">
        <f>G49+G50</f>
        <v>0</v>
      </c>
      <c r="H48" s="37">
        <f>H49+H50</f>
        <v>0</v>
      </c>
    </row>
    <row r="49" spans="1:8" s="3" customFormat="1" ht="25.5" x14ac:dyDescent="0.2">
      <c r="A49" s="259"/>
      <c r="B49" s="259"/>
      <c r="C49" s="195" t="s">
        <v>142</v>
      </c>
      <c r="D49" s="195"/>
      <c r="E49" s="196" t="s">
        <v>143</v>
      </c>
      <c r="F49" s="34">
        <v>0</v>
      </c>
      <c r="G49" s="29">
        <v>0</v>
      </c>
      <c r="H49" s="29">
        <v>0</v>
      </c>
    </row>
    <row r="50" spans="1:8" s="3" customFormat="1" x14ac:dyDescent="0.2">
      <c r="A50" s="259"/>
      <c r="B50" s="259"/>
      <c r="C50" s="195" t="s">
        <v>144</v>
      </c>
      <c r="D50" s="195"/>
      <c r="E50" s="196" t="s">
        <v>145</v>
      </c>
      <c r="F50" s="34">
        <f>55000-55000</f>
        <v>0</v>
      </c>
      <c r="G50" s="29">
        <v>0</v>
      </c>
      <c r="H50" s="29">
        <v>0</v>
      </c>
    </row>
    <row r="51" spans="1:8" s="3" customFormat="1" x14ac:dyDescent="0.2">
      <c r="A51" s="260"/>
      <c r="B51" s="260"/>
      <c r="C51" s="197"/>
      <c r="D51" s="197"/>
      <c r="E51" s="198"/>
      <c r="F51" s="35"/>
      <c r="G51" s="36"/>
      <c r="H51" s="36"/>
    </row>
    <row r="52" spans="1:8" s="3" customFormat="1" x14ac:dyDescent="0.2">
      <c r="A52" s="259"/>
      <c r="B52" s="259"/>
      <c r="C52" s="199" t="s">
        <v>133</v>
      </c>
      <c r="D52" s="199"/>
      <c r="E52" s="200" t="s">
        <v>146</v>
      </c>
      <c r="F52" s="39">
        <f>F48+F45+F42</f>
        <v>1497886</v>
      </c>
      <c r="G52" s="40">
        <f>G48+G45+G42</f>
        <v>1238186</v>
      </c>
      <c r="H52" s="40">
        <f>H48+H45+H42</f>
        <v>733030</v>
      </c>
    </row>
    <row r="53" spans="1:8" s="3" customFormat="1" x14ac:dyDescent="0.2">
      <c r="A53" s="257"/>
      <c r="B53" s="257"/>
      <c r="C53" s="189"/>
      <c r="D53" s="189"/>
      <c r="E53" s="190" t="s">
        <v>147</v>
      </c>
      <c r="F53" s="26"/>
      <c r="G53" s="11"/>
      <c r="H53" s="11"/>
    </row>
    <row r="54" spans="1:8" s="3" customFormat="1" x14ac:dyDescent="0.2">
      <c r="A54" s="244"/>
      <c r="B54" s="244"/>
      <c r="C54" s="191"/>
      <c r="D54" s="191"/>
      <c r="E54" s="203"/>
      <c r="F54" s="27"/>
      <c r="G54" s="12"/>
      <c r="H54" s="12"/>
    </row>
    <row r="55" spans="1:8" s="3" customFormat="1" x14ac:dyDescent="0.2">
      <c r="A55" s="257"/>
      <c r="B55" s="257"/>
      <c r="C55" s="191"/>
      <c r="D55" s="191"/>
      <c r="E55" s="192"/>
      <c r="F55" s="27"/>
      <c r="G55" s="12"/>
      <c r="H55" s="12"/>
    </row>
    <row r="56" spans="1:8" s="3" customFormat="1" x14ac:dyDescent="0.2">
      <c r="A56" s="257"/>
      <c r="B56" s="257"/>
      <c r="C56" s="193" t="s">
        <v>148</v>
      </c>
      <c r="D56" s="193"/>
      <c r="E56" s="194" t="s">
        <v>149</v>
      </c>
      <c r="F56" s="31">
        <f>F57+F58+F59+F60</f>
        <v>6639942.21</v>
      </c>
      <c r="G56" s="31">
        <f>G57+G58+G59+G60</f>
        <v>5704956.2699999996</v>
      </c>
      <c r="H56" s="31">
        <f>H57+H58+H59+H60</f>
        <v>5704509.9199999999</v>
      </c>
    </row>
    <row r="57" spans="1:8" s="3" customFormat="1" x14ac:dyDescent="0.2">
      <c r="A57" s="258" t="s">
        <v>150</v>
      </c>
      <c r="B57" s="258"/>
      <c r="C57" s="195" t="s">
        <v>151</v>
      </c>
      <c r="D57" s="195"/>
      <c r="E57" s="196" t="s">
        <v>152</v>
      </c>
      <c r="F57" s="32">
        <f>1987442.21+80000+7000</f>
        <v>2074442.21</v>
      </c>
      <c r="G57" s="33">
        <v>1987456.27</v>
      </c>
      <c r="H57" s="33">
        <v>1987009.92</v>
      </c>
    </row>
    <row r="58" spans="1:8" s="3" customFormat="1" x14ac:dyDescent="0.2">
      <c r="A58" s="259"/>
      <c r="B58" s="259"/>
      <c r="C58" s="195" t="s">
        <v>153</v>
      </c>
      <c r="D58" s="195"/>
      <c r="E58" s="196" t="s">
        <v>154</v>
      </c>
      <c r="F58" s="32">
        <v>3206000</v>
      </c>
      <c r="G58" s="33">
        <v>3206000</v>
      </c>
      <c r="H58" s="33">
        <v>3206000</v>
      </c>
    </row>
    <row r="59" spans="1:8" s="3" customFormat="1" x14ac:dyDescent="0.2">
      <c r="A59" s="259"/>
      <c r="B59" s="259"/>
      <c r="C59" s="195" t="s">
        <v>155</v>
      </c>
      <c r="D59" s="195"/>
      <c r="E59" s="196" t="s">
        <v>156</v>
      </c>
      <c r="F59" s="34">
        <v>31500</v>
      </c>
      <c r="G59" s="29">
        <v>31500</v>
      </c>
      <c r="H59" s="29">
        <v>31500</v>
      </c>
    </row>
    <row r="60" spans="1:8" s="3" customFormat="1" x14ac:dyDescent="0.2">
      <c r="A60" s="259"/>
      <c r="B60" s="259"/>
      <c r="C60" s="195" t="s">
        <v>157</v>
      </c>
      <c r="D60" s="195"/>
      <c r="E60" s="196" t="s">
        <v>158</v>
      </c>
      <c r="F60" s="34">
        <f>1335000-7000</f>
        <v>1328000</v>
      </c>
      <c r="G60" s="29">
        <v>480000</v>
      </c>
      <c r="H60" s="29">
        <v>480000</v>
      </c>
    </row>
    <row r="61" spans="1:8" s="3" customFormat="1" x14ac:dyDescent="0.2">
      <c r="A61" s="260"/>
      <c r="B61" s="260"/>
      <c r="C61" s="197"/>
      <c r="D61" s="197"/>
      <c r="E61" s="198"/>
      <c r="F61" s="35"/>
      <c r="G61" s="36"/>
      <c r="H61" s="36"/>
    </row>
    <row r="62" spans="1:8" s="3" customFormat="1" x14ac:dyDescent="0.2">
      <c r="A62" s="257"/>
      <c r="B62" s="257"/>
      <c r="C62" s="193" t="s">
        <v>159</v>
      </c>
      <c r="D62" s="193"/>
      <c r="E62" s="194" t="s">
        <v>160</v>
      </c>
      <c r="F62" s="37">
        <f>SUM(F63+F64)</f>
        <v>92000</v>
      </c>
      <c r="G62" s="37">
        <f>SUM(G63:G64)</f>
        <v>2000</v>
      </c>
      <c r="H62" s="37">
        <f>SUM(H63:H64)</f>
        <v>2000</v>
      </c>
    </row>
    <row r="63" spans="1:8" s="3" customFormat="1" x14ac:dyDescent="0.2">
      <c r="A63" s="259"/>
      <c r="B63" s="259"/>
      <c r="C63" s="195" t="s">
        <v>161</v>
      </c>
      <c r="D63" s="195"/>
      <c r="E63" s="196" t="s">
        <v>162</v>
      </c>
      <c r="F63" s="34">
        <v>2000</v>
      </c>
      <c r="G63" s="29">
        <v>2000</v>
      </c>
      <c r="H63" s="29">
        <v>2000</v>
      </c>
    </row>
    <row r="64" spans="1:8" s="3" customFormat="1" x14ac:dyDescent="0.2">
      <c r="A64" s="245"/>
      <c r="B64" s="245"/>
      <c r="C64" s="195" t="s">
        <v>240</v>
      </c>
      <c r="D64" s="195"/>
      <c r="E64" s="196" t="s">
        <v>241</v>
      </c>
      <c r="F64" s="34">
        <f>20000+70000</f>
        <v>90000</v>
      </c>
      <c r="G64" s="29">
        <v>0</v>
      </c>
      <c r="H64" s="29">
        <v>0</v>
      </c>
    </row>
    <row r="65" spans="1:9" s="3" customFormat="1" x14ac:dyDescent="0.2">
      <c r="A65" s="260"/>
      <c r="B65" s="262"/>
      <c r="C65" s="197"/>
      <c r="D65" s="197"/>
      <c r="E65" s="198"/>
      <c r="F65" s="35"/>
      <c r="G65" s="36"/>
      <c r="H65" s="36"/>
    </row>
    <row r="66" spans="1:9" s="3" customFormat="1" x14ac:dyDescent="0.2">
      <c r="A66" s="259"/>
      <c r="B66" s="259"/>
      <c r="C66" s="199" t="s">
        <v>150</v>
      </c>
      <c r="D66" s="199"/>
      <c r="E66" s="200" t="s">
        <v>163</v>
      </c>
      <c r="F66" s="39">
        <f>F62+F56</f>
        <v>6731942.21</v>
      </c>
      <c r="G66" s="40">
        <f>G62+G56</f>
        <v>5706956.2699999996</v>
      </c>
      <c r="H66" s="40">
        <f>H62+H56</f>
        <v>5706509.9199999999</v>
      </c>
    </row>
    <row r="67" spans="1:9" s="3" customFormat="1" x14ac:dyDescent="0.2">
      <c r="A67" s="259"/>
      <c r="B67" s="259"/>
      <c r="E67" s="201"/>
      <c r="F67" s="4"/>
      <c r="G67" s="13"/>
      <c r="H67" s="8"/>
    </row>
    <row r="68" spans="1:9" s="3" customFormat="1" x14ac:dyDescent="0.2">
      <c r="A68" s="260"/>
      <c r="B68" s="260"/>
      <c r="C68" s="204"/>
      <c r="D68" s="204"/>
      <c r="E68" s="205" t="s">
        <v>164</v>
      </c>
      <c r="F68" s="41">
        <f>F66+F52+F38+F20</f>
        <v>31056197.43</v>
      </c>
      <c r="G68" s="42">
        <f>G66+G52+G38+G20</f>
        <v>29846350</v>
      </c>
      <c r="H68" s="43">
        <f>H66+H52+H38+H20</f>
        <v>29252520</v>
      </c>
    </row>
    <row r="69" spans="1:9" s="3" customFormat="1" x14ac:dyDescent="0.2">
      <c r="A69" s="260"/>
      <c r="B69" s="260"/>
      <c r="C69" s="206"/>
      <c r="D69" s="206"/>
      <c r="E69" s="207"/>
      <c r="F69" s="5"/>
      <c r="G69" s="14"/>
      <c r="H69" s="9"/>
    </row>
    <row r="70" spans="1:9" s="3" customFormat="1" x14ac:dyDescent="0.2">
      <c r="A70" s="260"/>
      <c r="B70" s="260"/>
      <c r="C70" s="204"/>
      <c r="D70" s="204"/>
      <c r="E70" s="205" t="s">
        <v>165</v>
      </c>
      <c r="F70" s="208">
        <f>F68+F8+F7+F6</f>
        <v>39196590.609999999</v>
      </c>
      <c r="G70" s="44">
        <f>G68+G8+G7+G6</f>
        <v>29846350</v>
      </c>
      <c r="H70" s="45">
        <f>H68+H8+H7+H6</f>
        <v>29252520</v>
      </c>
    </row>
    <row r="71" spans="1:9" x14ac:dyDescent="0.2">
      <c r="F71" s="238" t="s">
        <v>88</v>
      </c>
    </row>
    <row r="72" spans="1:9" x14ac:dyDescent="0.2">
      <c r="E72" s="239" t="s">
        <v>88</v>
      </c>
      <c r="F72" s="239" t="s">
        <v>88</v>
      </c>
      <c r="G72" s="46"/>
      <c r="H72" s="46"/>
      <c r="I72" s="46"/>
    </row>
    <row r="73" spans="1:9" x14ac:dyDescent="0.2">
      <c r="F73" s="46"/>
      <c r="G73" s="46"/>
      <c r="H73" s="46"/>
      <c r="I73" s="46"/>
    </row>
    <row r="74" spans="1:9" x14ac:dyDescent="0.2">
      <c r="F74" s="46"/>
      <c r="G74" s="46"/>
      <c r="H74" s="46"/>
      <c r="I74" s="46"/>
    </row>
    <row r="75" spans="1:9" x14ac:dyDescent="0.2">
      <c r="F75" s="238" t="s">
        <v>88</v>
      </c>
      <c r="G75" s="46"/>
      <c r="H75" s="46"/>
      <c r="I75" s="46"/>
    </row>
    <row r="76" spans="1:9" x14ac:dyDescent="0.2">
      <c r="F76" s="46"/>
      <c r="G76" s="46"/>
      <c r="H76" s="46"/>
      <c r="I76" s="46"/>
    </row>
    <row r="77" spans="1:9" x14ac:dyDescent="0.2">
      <c r="F77" s="46"/>
      <c r="G77" s="46"/>
      <c r="H77" s="46"/>
      <c r="I77" s="46"/>
    </row>
    <row r="78" spans="1:9" x14ac:dyDescent="0.2">
      <c r="F78" s="46"/>
      <c r="G78" s="46"/>
      <c r="H78" s="46"/>
      <c r="I78" s="46"/>
    </row>
    <row r="79" spans="1:9" x14ac:dyDescent="0.2">
      <c r="F79" s="46"/>
      <c r="G79" s="46"/>
      <c r="H79" s="46"/>
      <c r="I79" s="46"/>
    </row>
    <row r="80" spans="1:9" x14ac:dyDescent="0.2">
      <c r="F80" s="46"/>
      <c r="G80" s="46"/>
      <c r="H80" s="46"/>
      <c r="I80" s="46"/>
    </row>
    <row r="81" spans="6:9" x14ac:dyDescent="0.2">
      <c r="F81" s="46"/>
      <c r="G81" s="46"/>
      <c r="H81" s="46"/>
      <c r="I81" s="46"/>
    </row>
    <row r="82" spans="6:9" x14ac:dyDescent="0.2">
      <c r="F82" s="46"/>
      <c r="G82" s="46"/>
      <c r="H82" s="46"/>
      <c r="I82" s="46"/>
    </row>
  </sheetData>
  <mergeCells count="62">
    <mergeCell ref="C2:H2"/>
    <mergeCell ref="A69:B69"/>
    <mergeCell ref="A70:B70"/>
    <mergeCell ref="A62:B62"/>
    <mergeCell ref="A63:B63"/>
    <mergeCell ref="A65:B65"/>
    <mergeCell ref="A66:B66"/>
    <mergeCell ref="A67:B67"/>
    <mergeCell ref="A68:B68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C6:C8"/>
    <mergeCell ref="D6:D8"/>
    <mergeCell ref="A10:B10"/>
    <mergeCell ref="A11:B11"/>
    <mergeCell ref="A12:B12"/>
    <mergeCell ref="A13:B13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41"/>
  <sheetViews>
    <sheetView topLeftCell="A4" zoomScaleNormal="100" zoomScaleSheetLayoutView="140" workbookViewId="0">
      <selection activeCell="C45" sqref="C45"/>
    </sheetView>
  </sheetViews>
  <sheetFormatPr defaultColWidth="8.85546875" defaultRowHeight="12.75" x14ac:dyDescent="0.2"/>
  <cols>
    <col min="1" max="1" width="0.28515625" style="68" customWidth="1"/>
    <col min="2" max="2" width="6.42578125" style="68" customWidth="1"/>
    <col min="3" max="3" width="47.28515625" style="68" customWidth="1"/>
    <col min="4" max="5" width="22.140625" style="68" customWidth="1"/>
    <col min="6" max="6" width="20.7109375" style="68" customWidth="1"/>
    <col min="7" max="7" width="8.85546875" style="68"/>
    <col min="8" max="8" width="14.7109375" style="68" bestFit="1" customWidth="1"/>
    <col min="9" max="15" width="15.85546875" style="68" customWidth="1"/>
    <col min="16" max="16" width="21.140625" style="68" customWidth="1"/>
    <col min="17" max="16384" width="8.85546875" style="68"/>
  </cols>
  <sheetData>
    <row r="1" spans="1:27" s="47" customFormat="1" ht="25.5" customHeight="1" x14ac:dyDescent="0.2">
      <c r="B1" s="265" t="s">
        <v>166</v>
      </c>
      <c r="C1" s="265"/>
      <c r="D1" s="265"/>
      <c r="E1" s="265"/>
      <c r="F1" s="265"/>
    </row>
    <row r="2" spans="1:27" s="47" customFormat="1" ht="15" customHeight="1" x14ac:dyDescent="0.15"/>
    <row r="3" spans="1:27" s="47" customFormat="1" ht="18" customHeight="1" x14ac:dyDescent="0.2">
      <c r="A3" s="209"/>
      <c r="B3" s="266" t="s">
        <v>167</v>
      </c>
      <c r="C3" s="266"/>
      <c r="D3" s="246" t="s">
        <v>232</v>
      </c>
      <c r="E3" s="246" t="s">
        <v>234</v>
      </c>
      <c r="F3" s="246" t="s">
        <v>249</v>
      </c>
    </row>
    <row r="4" spans="1:27" s="47" customFormat="1" ht="18" customHeight="1" x14ac:dyDescent="0.2">
      <c r="A4" s="209"/>
      <c r="B4" s="266"/>
      <c r="C4" s="266"/>
      <c r="D4" s="246" t="s">
        <v>8</v>
      </c>
      <c r="E4" s="246" t="s">
        <v>8</v>
      </c>
      <c r="F4" s="246" t="s">
        <v>8</v>
      </c>
    </row>
    <row r="5" spans="1:27" s="47" customFormat="1" ht="3" customHeight="1" x14ac:dyDescent="0.2">
      <c r="A5" s="48"/>
      <c r="B5" s="263"/>
      <c r="C5" s="263"/>
      <c r="D5" s="48"/>
      <c r="E5" s="48"/>
      <c r="F5" s="49"/>
    </row>
    <row r="6" spans="1:27" s="47" customFormat="1" ht="7.5" customHeight="1" x14ac:dyDescent="0.15">
      <c r="F6" s="50"/>
      <c r="H6" s="210" t="s">
        <v>88</v>
      </c>
    </row>
    <row r="7" spans="1:27" s="47" customFormat="1" ht="18" customHeight="1" x14ac:dyDescent="0.2">
      <c r="A7" s="209"/>
      <c r="B7" s="211"/>
      <c r="C7" s="212" t="s">
        <v>168</v>
      </c>
      <c r="D7" s="51">
        <v>0</v>
      </c>
      <c r="E7" s="51">
        <v>0</v>
      </c>
      <c r="F7" s="52">
        <v>0</v>
      </c>
    </row>
    <row r="8" spans="1:27" s="47" customFormat="1" ht="3" customHeight="1" x14ac:dyDescent="0.2">
      <c r="A8" s="48"/>
      <c r="B8" s="263"/>
      <c r="C8" s="263"/>
      <c r="D8" s="48"/>
      <c r="E8" s="48"/>
      <c r="F8" s="49"/>
    </row>
    <row r="9" spans="1:27" s="47" customFormat="1" ht="7.5" customHeight="1" x14ac:dyDescent="0.15">
      <c r="F9" s="50"/>
    </row>
    <row r="10" spans="1:27" s="47" customFormat="1" ht="15" customHeight="1" x14ac:dyDescent="0.2">
      <c r="A10" s="213" t="s">
        <v>169</v>
      </c>
      <c r="B10" s="55" t="s">
        <v>170</v>
      </c>
      <c r="C10" s="243" t="s">
        <v>171</v>
      </c>
      <c r="D10" s="53" t="s">
        <v>172</v>
      </c>
      <c r="E10" s="54" t="s">
        <v>173</v>
      </c>
      <c r="F10" s="55" t="s">
        <v>174</v>
      </c>
    </row>
    <row r="11" spans="1:27" s="47" customFormat="1" ht="15" customHeight="1" x14ac:dyDescent="0.2">
      <c r="A11" s="214" t="s">
        <v>175</v>
      </c>
      <c r="B11" s="215" t="s">
        <v>176</v>
      </c>
      <c r="C11" s="216" t="s">
        <v>1</v>
      </c>
      <c r="D11" s="56">
        <f>244218.57-42388.42</f>
        <v>201830.15000000002</v>
      </c>
      <c r="E11" s="57">
        <f>261990.5-2500</f>
        <v>259490.5</v>
      </c>
      <c r="F11" s="58">
        <v>274437.98</v>
      </c>
      <c r="Z11" s="217" t="s">
        <v>88</v>
      </c>
      <c r="AA11" s="217" t="s">
        <v>88</v>
      </c>
    </row>
    <row r="12" spans="1:27" s="47" customFormat="1" ht="15" customHeight="1" x14ac:dyDescent="0.2">
      <c r="A12" s="218"/>
      <c r="B12" s="215" t="s">
        <v>177</v>
      </c>
      <c r="C12" s="216" t="s">
        <v>2</v>
      </c>
      <c r="D12" s="56">
        <f>1182784.73+156.11+1248.92-2380</f>
        <v>1181809.76</v>
      </c>
      <c r="E12" s="57">
        <v>1185897</v>
      </c>
      <c r="F12" s="58">
        <v>1191897</v>
      </c>
      <c r="H12" s="219" t="s">
        <v>88</v>
      </c>
      <c r="I12" s="219" t="s">
        <v>88</v>
      </c>
      <c r="J12" s="219" t="s">
        <v>88</v>
      </c>
      <c r="K12" s="219" t="s">
        <v>88</v>
      </c>
      <c r="L12" s="219" t="s">
        <v>88</v>
      </c>
      <c r="M12" s="219" t="s">
        <v>88</v>
      </c>
      <c r="N12" s="219" t="s">
        <v>88</v>
      </c>
      <c r="O12" s="219" t="s">
        <v>88</v>
      </c>
      <c r="P12" s="219" t="s">
        <v>88</v>
      </c>
      <c r="Q12" s="219" t="s">
        <v>88</v>
      </c>
      <c r="R12" s="219" t="s">
        <v>88</v>
      </c>
      <c r="S12" s="219" t="s">
        <v>88</v>
      </c>
    </row>
    <row r="13" spans="1:27" s="47" customFormat="1" ht="15" customHeight="1" x14ac:dyDescent="0.2">
      <c r="A13" s="218"/>
      <c r="B13" s="215" t="s">
        <v>178</v>
      </c>
      <c r="C13" s="216" t="s">
        <v>3</v>
      </c>
      <c r="D13" s="56">
        <f>18568857.16-18000+5133.89+41071.13-34445-51348.32</f>
        <v>18511268.859999999</v>
      </c>
      <c r="E13" s="57">
        <f>18354843.66+16200+32500</f>
        <v>18403543.66</v>
      </c>
      <c r="F13" s="58">
        <f>18287298.53+30000</f>
        <v>18317298.530000001</v>
      </c>
      <c r="H13" s="219" t="s">
        <v>88</v>
      </c>
      <c r="I13" s="219" t="s">
        <v>88</v>
      </c>
      <c r="J13" s="219" t="s">
        <v>88</v>
      </c>
      <c r="K13" s="219" t="s">
        <v>88</v>
      </c>
      <c r="L13" s="219" t="s">
        <v>88</v>
      </c>
      <c r="M13" s="219" t="s">
        <v>88</v>
      </c>
      <c r="N13" s="219" t="s">
        <v>88</v>
      </c>
      <c r="O13" s="219" t="s">
        <v>88</v>
      </c>
    </row>
    <row r="14" spans="1:27" s="47" customFormat="1" ht="15" customHeight="1" x14ac:dyDescent="0.2">
      <c r="A14" s="218"/>
      <c r="B14" s="215" t="s">
        <v>179</v>
      </c>
      <c r="C14" s="216" t="s">
        <v>4</v>
      </c>
      <c r="D14" s="56">
        <f>3567612.56+119675.54+2000+18000+34445-69473.34</f>
        <v>3672259.7600000002</v>
      </c>
      <c r="E14" s="57">
        <f>2874245-16200-30000</f>
        <v>2828045</v>
      </c>
      <c r="F14" s="58">
        <f>2835115-30000</f>
        <v>2805115</v>
      </c>
      <c r="H14" s="219" t="s">
        <v>88</v>
      </c>
      <c r="I14" s="219" t="s">
        <v>88</v>
      </c>
      <c r="J14" s="219" t="s">
        <v>88</v>
      </c>
      <c r="K14" s="219" t="s">
        <v>88</v>
      </c>
      <c r="L14" s="219" t="s">
        <v>88</v>
      </c>
      <c r="M14" s="219" t="s">
        <v>88</v>
      </c>
      <c r="N14" s="219" t="s">
        <v>88</v>
      </c>
      <c r="O14" s="219" t="s">
        <v>88</v>
      </c>
      <c r="P14" s="219" t="s">
        <v>88</v>
      </c>
      <c r="Q14" s="219" t="s">
        <v>88</v>
      </c>
      <c r="R14" s="219" t="s">
        <v>88</v>
      </c>
      <c r="S14" s="219" t="s">
        <v>88</v>
      </c>
      <c r="T14" s="219" t="s">
        <v>88</v>
      </c>
    </row>
    <row r="15" spans="1:27" s="47" customFormat="1" ht="15" customHeight="1" x14ac:dyDescent="0.2">
      <c r="A15" s="218"/>
      <c r="B15" s="215" t="s">
        <v>180</v>
      </c>
      <c r="C15" s="216" t="s">
        <v>5</v>
      </c>
      <c r="D15" s="56">
        <v>500</v>
      </c>
      <c r="E15" s="57">
        <v>500</v>
      </c>
      <c r="F15" s="58">
        <v>500</v>
      </c>
      <c r="H15" s="219" t="s">
        <v>88</v>
      </c>
      <c r="I15" s="219" t="s">
        <v>88</v>
      </c>
      <c r="J15" s="219" t="s">
        <v>88</v>
      </c>
    </row>
    <row r="16" spans="1:27" s="47" customFormat="1" ht="15" customHeight="1" x14ac:dyDescent="0.2">
      <c r="A16" s="218"/>
      <c r="B16" s="215" t="s">
        <v>181</v>
      </c>
      <c r="C16" s="216" t="s">
        <v>6</v>
      </c>
      <c r="D16" s="252">
        <f>91800.25+22673.37</f>
        <v>114473.62</v>
      </c>
      <c r="E16" s="57">
        <v>79476.070000000007</v>
      </c>
      <c r="F16" s="58">
        <v>79476.070000000007</v>
      </c>
      <c r="I16" s="219" t="s">
        <v>88</v>
      </c>
      <c r="J16" s="219" t="s">
        <v>88</v>
      </c>
    </row>
    <row r="17" spans="1:19" s="47" customFormat="1" ht="15" customHeight="1" x14ac:dyDescent="0.2">
      <c r="A17" s="218"/>
      <c r="B17" s="215" t="s">
        <v>182</v>
      </c>
      <c r="C17" s="216" t="s">
        <v>7</v>
      </c>
      <c r="D17" s="56">
        <f>3339229.63+1856886.59</f>
        <v>5196116.22</v>
      </c>
      <c r="E17" s="57">
        <v>144255.5</v>
      </c>
      <c r="F17" s="58">
        <v>144255.5</v>
      </c>
    </row>
    <row r="18" spans="1:19" s="47" customFormat="1" ht="15" customHeight="1" x14ac:dyDescent="0.2">
      <c r="A18" s="220" t="s">
        <v>16</v>
      </c>
      <c r="B18" s="221" t="s">
        <v>175</v>
      </c>
      <c r="C18" s="241" t="s">
        <v>183</v>
      </c>
      <c r="D18" s="242">
        <f>SUM(D11:D17)</f>
        <v>28878258.370000001</v>
      </c>
      <c r="E18" s="59">
        <f>SUM(E11:E17)</f>
        <v>22901207.73</v>
      </c>
      <c r="F18" s="60">
        <f>SUM(F11:F17)</f>
        <v>22812980.080000002</v>
      </c>
      <c r="P18" s="222" t="s">
        <v>88</v>
      </c>
    </row>
    <row r="19" spans="1:19" s="47" customFormat="1" ht="7.5" customHeight="1" x14ac:dyDescent="0.2">
      <c r="A19" s="61"/>
      <c r="B19" s="61"/>
      <c r="C19" s="61"/>
      <c r="D19" s="61"/>
      <c r="E19" s="61"/>
      <c r="F19" s="62"/>
    </row>
    <row r="20" spans="1:19" s="47" customFormat="1" ht="15" customHeight="1" x14ac:dyDescent="0.2">
      <c r="A20" s="213" t="s">
        <v>169</v>
      </c>
      <c r="B20" s="55" t="s">
        <v>170</v>
      </c>
      <c r="C20" s="223" t="s">
        <v>184</v>
      </c>
      <c r="D20" s="55" t="s">
        <v>172</v>
      </c>
      <c r="E20" s="55" t="s">
        <v>173</v>
      </c>
      <c r="F20" s="55" t="s">
        <v>174</v>
      </c>
      <c r="H20" s="222" t="s">
        <v>88</v>
      </c>
      <c r="I20" s="222" t="s">
        <v>88</v>
      </c>
      <c r="J20" s="222" t="s">
        <v>88</v>
      </c>
      <c r="K20" s="219" t="s">
        <v>88</v>
      </c>
      <c r="L20" s="219" t="s">
        <v>88</v>
      </c>
    </row>
    <row r="21" spans="1:19" s="47" customFormat="1" ht="15" customHeight="1" x14ac:dyDescent="0.2">
      <c r="A21" s="214" t="s">
        <v>185</v>
      </c>
      <c r="B21" s="215" t="s">
        <v>186</v>
      </c>
      <c r="C21" s="224" t="s">
        <v>81</v>
      </c>
      <c r="D21" s="58">
        <f>2073734.12+354973.24+166220.39</f>
        <v>2594927.7500000005</v>
      </c>
      <c r="E21" s="58">
        <v>1203186</v>
      </c>
      <c r="F21" s="58">
        <v>698030</v>
      </c>
      <c r="H21" s="48" t="s">
        <v>88</v>
      </c>
      <c r="I21" s="48" t="s">
        <v>88</v>
      </c>
      <c r="J21" s="48" t="s">
        <v>88</v>
      </c>
      <c r="K21" s="48" t="s">
        <v>88</v>
      </c>
      <c r="L21" s="48" t="s">
        <v>88</v>
      </c>
    </row>
    <row r="22" spans="1:19" s="47" customFormat="1" ht="15" customHeight="1" x14ac:dyDescent="0.2">
      <c r="A22" s="218"/>
      <c r="B22" s="215" t="s">
        <v>187</v>
      </c>
      <c r="C22" s="224" t="s">
        <v>82</v>
      </c>
      <c r="D22" s="58">
        <f>850000-89996</f>
        <v>760004</v>
      </c>
      <c r="E22" s="58">
        <v>0</v>
      </c>
      <c r="F22" s="58">
        <v>0</v>
      </c>
      <c r="H22" s="210" t="s">
        <v>88</v>
      </c>
      <c r="I22" s="210" t="s">
        <v>88</v>
      </c>
      <c r="J22" s="210" t="s">
        <v>88</v>
      </c>
      <c r="K22" s="210" t="s">
        <v>88</v>
      </c>
      <c r="L22" s="210" t="s">
        <v>88</v>
      </c>
      <c r="M22" s="210" t="s">
        <v>88</v>
      </c>
      <c r="N22" s="210" t="s">
        <v>88</v>
      </c>
      <c r="O22" s="210" t="s">
        <v>88</v>
      </c>
      <c r="P22" s="210" t="s">
        <v>88</v>
      </c>
      <c r="Q22" s="210" t="s">
        <v>88</v>
      </c>
      <c r="R22" s="210" t="s">
        <v>88</v>
      </c>
      <c r="S22" s="210" t="s">
        <v>88</v>
      </c>
    </row>
    <row r="23" spans="1:19" s="47" customFormat="1" ht="15" customHeight="1" x14ac:dyDescent="0.2">
      <c r="A23" s="218"/>
      <c r="B23" s="215" t="s">
        <v>188</v>
      </c>
      <c r="C23" s="224" t="s">
        <v>83</v>
      </c>
      <c r="D23" s="58">
        <f>885000-850000+196458.28</f>
        <v>231458.28</v>
      </c>
      <c r="E23" s="58">
        <v>35000</v>
      </c>
      <c r="F23" s="58">
        <v>35000</v>
      </c>
    </row>
    <row r="24" spans="1:19" s="47" customFormat="1" ht="15" customHeight="1" x14ac:dyDescent="0.15">
      <c r="A24" s="220" t="s">
        <v>80</v>
      </c>
      <c r="B24" s="221" t="s">
        <v>185</v>
      </c>
      <c r="C24" s="225" t="s">
        <v>189</v>
      </c>
      <c r="D24" s="60">
        <f>SUM(D21:D23)</f>
        <v>3586390.0300000003</v>
      </c>
      <c r="E24" s="60">
        <f>SUM(E21:E23)</f>
        <v>1238186</v>
      </c>
      <c r="F24" s="60">
        <f>SUM(F21:F23)</f>
        <v>733030</v>
      </c>
    </row>
    <row r="25" spans="1:19" s="47" customFormat="1" ht="15" customHeight="1" x14ac:dyDescent="0.15">
      <c r="A25" s="220"/>
      <c r="B25" s="226"/>
      <c r="C25" s="227"/>
      <c r="D25" s="63"/>
      <c r="E25" s="63"/>
      <c r="F25" s="64"/>
    </row>
    <row r="26" spans="1:19" s="47" customFormat="1" ht="15" customHeight="1" x14ac:dyDescent="0.15">
      <c r="A26" s="220"/>
      <c r="B26" s="55" t="s">
        <v>170</v>
      </c>
      <c r="C26" s="223" t="s">
        <v>217</v>
      </c>
      <c r="D26" s="55" t="s">
        <v>172</v>
      </c>
      <c r="E26" s="55" t="s">
        <v>173</v>
      </c>
      <c r="F26" s="55" t="s">
        <v>174</v>
      </c>
    </row>
    <row r="27" spans="1:19" s="47" customFormat="1" ht="15" customHeight="1" x14ac:dyDescent="0.15">
      <c r="A27" s="220"/>
      <c r="B27" s="215" t="s">
        <v>216</v>
      </c>
      <c r="C27" s="224" t="s">
        <v>223</v>
      </c>
      <c r="D27" s="58">
        <v>0</v>
      </c>
      <c r="E27" s="58">
        <v>0</v>
      </c>
      <c r="F27" s="58">
        <v>0</v>
      </c>
    </row>
    <row r="28" spans="1:19" s="47" customFormat="1" ht="15" customHeight="1" x14ac:dyDescent="0.15">
      <c r="A28" s="220"/>
      <c r="B28" s="215" t="s">
        <v>218</v>
      </c>
      <c r="C28" s="224" t="s">
        <v>224</v>
      </c>
      <c r="D28" s="58">
        <v>0</v>
      </c>
      <c r="E28" s="58">
        <v>0</v>
      </c>
      <c r="F28" s="58">
        <v>0</v>
      </c>
    </row>
    <row r="29" spans="1:19" s="47" customFormat="1" ht="15" customHeight="1" x14ac:dyDescent="0.15">
      <c r="A29" s="220"/>
      <c r="B29" s="215" t="s">
        <v>219</v>
      </c>
      <c r="C29" s="224" t="s">
        <v>225</v>
      </c>
      <c r="D29" s="58">
        <v>0</v>
      </c>
      <c r="E29" s="58">
        <v>0</v>
      </c>
      <c r="F29" s="58">
        <v>0</v>
      </c>
    </row>
    <row r="30" spans="1:19" s="47" customFormat="1" ht="15" customHeight="1" x14ac:dyDescent="0.15">
      <c r="A30" s="220"/>
      <c r="B30" s="215" t="s">
        <v>220</v>
      </c>
      <c r="C30" s="224" t="s">
        <v>226</v>
      </c>
      <c r="D30" s="58">
        <v>0</v>
      </c>
      <c r="E30" s="58">
        <v>0</v>
      </c>
      <c r="F30" s="58">
        <v>0</v>
      </c>
    </row>
    <row r="31" spans="1:19" s="47" customFormat="1" ht="15" customHeight="1" x14ac:dyDescent="0.15">
      <c r="A31" s="220"/>
      <c r="B31" s="221" t="s">
        <v>221</v>
      </c>
      <c r="C31" s="225" t="s">
        <v>222</v>
      </c>
      <c r="D31" s="60">
        <f>SUM(D27:D30)</f>
        <v>0</v>
      </c>
      <c r="E31" s="60">
        <f>SUM(E27:E30)</f>
        <v>0</v>
      </c>
      <c r="F31" s="60">
        <f>SUM(F27:F30)</f>
        <v>0</v>
      </c>
    </row>
    <row r="32" spans="1:19" s="47" customFormat="1" ht="15" customHeight="1" x14ac:dyDescent="0.15">
      <c r="A32" s="220"/>
      <c r="B32" s="226"/>
      <c r="C32" s="227"/>
      <c r="D32" s="63"/>
      <c r="E32" s="63"/>
      <c r="F32" s="64"/>
    </row>
    <row r="33" spans="1:11" s="47" customFormat="1" ht="7.5" customHeight="1" x14ac:dyDescent="0.2">
      <c r="A33" s="61"/>
      <c r="B33" s="61"/>
      <c r="C33" s="61"/>
      <c r="D33" s="61"/>
      <c r="E33" s="61"/>
      <c r="F33" s="62"/>
    </row>
    <row r="34" spans="1:11" s="47" customFormat="1" ht="15" customHeight="1" x14ac:dyDescent="0.2">
      <c r="A34" s="213" t="s">
        <v>169</v>
      </c>
      <c r="B34" s="55" t="s">
        <v>170</v>
      </c>
      <c r="C34" s="223" t="s">
        <v>190</v>
      </c>
      <c r="D34" s="55" t="s">
        <v>172</v>
      </c>
      <c r="E34" s="55" t="s">
        <v>173</v>
      </c>
      <c r="F34" s="55" t="s">
        <v>174</v>
      </c>
      <c r="K34" s="47" t="s">
        <v>88</v>
      </c>
    </row>
    <row r="35" spans="1:11" s="47" customFormat="1" ht="15" customHeight="1" x14ac:dyDescent="0.2">
      <c r="A35" s="214" t="s">
        <v>191</v>
      </c>
      <c r="B35" s="215" t="s">
        <v>192</v>
      </c>
      <c r="C35" s="224" t="s">
        <v>193</v>
      </c>
      <c r="D35" s="58">
        <f>6559942.21+80000</f>
        <v>6639942.21</v>
      </c>
      <c r="E35" s="58">
        <v>5704956.2699999996</v>
      </c>
      <c r="F35" s="58">
        <v>5704509.9199999999</v>
      </c>
      <c r="I35" s="210" t="s">
        <v>88</v>
      </c>
    </row>
    <row r="36" spans="1:11" s="47" customFormat="1" ht="15" customHeight="1" x14ac:dyDescent="0.2">
      <c r="A36" s="218"/>
      <c r="B36" s="215" t="s">
        <v>194</v>
      </c>
      <c r="C36" s="224" t="s">
        <v>195</v>
      </c>
      <c r="D36" s="58">
        <f>22000+70000</f>
        <v>92000</v>
      </c>
      <c r="E36" s="58">
        <v>2000</v>
      </c>
      <c r="F36" s="58">
        <v>2000</v>
      </c>
    </row>
    <row r="37" spans="1:11" s="47" customFormat="1" ht="15" customHeight="1" x14ac:dyDescent="0.15">
      <c r="A37" s="220" t="s">
        <v>43</v>
      </c>
      <c r="B37" s="221" t="s">
        <v>191</v>
      </c>
      <c r="C37" s="225" t="s">
        <v>196</v>
      </c>
      <c r="D37" s="60">
        <f>SUM(D35:D36)</f>
        <v>6731942.21</v>
      </c>
      <c r="E37" s="60">
        <f>SUM(E35:E36)</f>
        <v>5706956.2699999996</v>
      </c>
      <c r="F37" s="60">
        <f>SUM(F35:F36)</f>
        <v>5706509.9199999999</v>
      </c>
    </row>
    <row r="38" spans="1:11" s="47" customFormat="1" ht="7.5" customHeight="1" x14ac:dyDescent="0.2">
      <c r="A38" s="61"/>
      <c r="B38" s="61"/>
      <c r="C38" s="61"/>
      <c r="D38" s="61"/>
      <c r="E38" s="61"/>
      <c r="F38" s="62"/>
    </row>
    <row r="39" spans="1:11" s="47" customFormat="1" ht="18" customHeight="1" x14ac:dyDescent="0.15">
      <c r="A39" s="228"/>
      <c r="B39" s="264" t="s">
        <v>197</v>
      </c>
      <c r="C39" s="264"/>
      <c r="D39" s="52">
        <f>D37+D24+D18+D31</f>
        <v>39196590.609999999</v>
      </c>
      <c r="E39" s="52">
        <f>E37+E24+E18+E31</f>
        <v>29846350</v>
      </c>
      <c r="F39" s="52">
        <f>F37+F24+F18+F31</f>
        <v>29252520</v>
      </c>
    </row>
    <row r="40" spans="1:11" s="47" customFormat="1" ht="7.5" customHeight="1" x14ac:dyDescent="0.15">
      <c r="A40" s="228"/>
      <c r="B40" s="229"/>
      <c r="C40" s="229"/>
      <c r="D40" s="65"/>
      <c r="E40" s="65"/>
      <c r="F40" s="66"/>
    </row>
    <row r="41" spans="1:11" s="47" customFormat="1" ht="18" customHeight="1" x14ac:dyDescent="0.15">
      <c r="A41" s="228"/>
      <c r="B41" s="230"/>
      <c r="C41" s="231" t="s">
        <v>198</v>
      </c>
      <c r="D41" s="67">
        <f>D39+D7</f>
        <v>39196590.609999999</v>
      </c>
      <c r="E41" s="67">
        <f>E39+E7</f>
        <v>29846350</v>
      </c>
      <c r="F41" s="67">
        <f>F39+F7</f>
        <v>29252520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6"/>
  <sheetViews>
    <sheetView topLeftCell="E1" zoomScaleNormal="100" zoomScaleSheetLayoutView="100" workbookViewId="0">
      <selection activeCell="U14" sqref="U14"/>
    </sheetView>
  </sheetViews>
  <sheetFormatPr defaultRowHeight="14.25" x14ac:dyDescent="0.2"/>
  <cols>
    <col min="1" max="1" width="5.5703125" style="25" customWidth="1"/>
    <col min="2" max="2" width="14.140625" style="25" customWidth="1"/>
    <col min="3" max="3" width="48.140625" style="24" customWidth="1"/>
    <col min="4" max="4" width="15.7109375" style="25" customWidth="1"/>
    <col min="5" max="5" width="18.85546875" style="25" customWidth="1"/>
    <col min="6" max="6" width="20.28515625" style="25" customWidth="1"/>
    <col min="7" max="7" width="19.28515625" style="25" customWidth="1"/>
    <col min="8" max="9" width="15.85546875" style="25" customWidth="1"/>
    <col min="10" max="10" width="20" style="25" customWidth="1"/>
    <col min="11" max="11" width="21.140625" style="25" customWidth="1"/>
    <col min="12" max="16384" width="9.140625" style="25"/>
  </cols>
  <sheetData>
    <row r="1" spans="1:11" s="21" customFormat="1" ht="45" customHeight="1" x14ac:dyDescent="0.2">
      <c r="A1" s="269" t="s">
        <v>229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s="21" customFormat="1" ht="60" x14ac:dyDescent="0.2">
      <c r="B2" s="267" t="s">
        <v>0</v>
      </c>
      <c r="C2" s="267"/>
      <c r="D2" s="18" t="s">
        <v>1</v>
      </c>
      <c r="E2" s="18" t="s">
        <v>2</v>
      </c>
      <c r="F2" s="18" t="s">
        <v>3</v>
      </c>
      <c r="G2" s="18" t="s">
        <v>4</v>
      </c>
      <c r="H2" s="18" t="s">
        <v>5</v>
      </c>
      <c r="I2" s="18" t="s">
        <v>6</v>
      </c>
      <c r="J2" s="18" t="s">
        <v>7</v>
      </c>
      <c r="K2" s="247" t="s">
        <v>8</v>
      </c>
    </row>
    <row r="3" spans="1:11" s="21" customFormat="1" ht="15" x14ac:dyDescent="0.2">
      <c r="B3" s="267"/>
      <c r="C3" s="267"/>
      <c r="D3" s="247" t="s">
        <v>9</v>
      </c>
      <c r="E3" s="247" t="s">
        <v>10</v>
      </c>
      <c r="F3" s="247" t="s">
        <v>11</v>
      </c>
      <c r="G3" s="247" t="s">
        <v>12</v>
      </c>
      <c r="H3" s="247" t="s">
        <v>13</v>
      </c>
      <c r="I3" s="247" t="s">
        <v>14</v>
      </c>
      <c r="J3" s="247" t="s">
        <v>15</v>
      </c>
      <c r="K3" s="247" t="s">
        <v>16</v>
      </c>
    </row>
    <row r="4" spans="1:11" s="21" customFormat="1" ht="15" x14ac:dyDescent="0.2">
      <c r="A4" s="74"/>
      <c r="B4" s="75"/>
      <c r="C4" s="173"/>
      <c r="D4" s="19" t="s">
        <v>1</v>
      </c>
      <c r="E4" s="19" t="s">
        <v>2</v>
      </c>
      <c r="F4" s="19" t="s">
        <v>3</v>
      </c>
      <c r="G4" s="19" t="s">
        <v>4</v>
      </c>
      <c r="H4" s="19" t="s">
        <v>5</v>
      </c>
      <c r="I4" s="19" t="s">
        <v>6</v>
      </c>
      <c r="J4" s="19" t="s">
        <v>7</v>
      </c>
      <c r="K4" s="72"/>
    </row>
    <row r="5" spans="1:11" s="21" customFormat="1" ht="28.5" x14ac:dyDescent="0.2">
      <c r="A5" s="74"/>
      <c r="B5" s="77" t="s">
        <v>17</v>
      </c>
      <c r="C5" s="78" t="s">
        <v>18</v>
      </c>
      <c r="D5" s="20" t="s">
        <v>9</v>
      </c>
      <c r="E5" s="20" t="s">
        <v>10</v>
      </c>
      <c r="F5" s="20"/>
      <c r="G5" s="20" t="s">
        <v>12</v>
      </c>
      <c r="H5" s="20" t="s">
        <v>13</v>
      </c>
      <c r="I5" s="20" t="s">
        <v>14</v>
      </c>
      <c r="J5" s="20" t="s">
        <v>15</v>
      </c>
      <c r="K5" s="73"/>
    </row>
    <row r="6" spans="1:11" s="21" customFormat="1" ht="15" x14ac:dyDescent="0.25">
      <c r="A6" s="79" t="s">
        <v>16</v>
      </c>
      <c r="B6" s="80" t="s">
        <v>17</v>
      </c>
      <c r="C6" s="81" t="s">
        <v>19</v>
      </c>
      <c r="D6" s="69" t="s">
        <v>20</v>
      </c>
      <c r="E6" s="69">
        <f>930551+872.73+156.11+1248.92-595</f>
        <v>932233.76</v>
      </c>
      <c r="F6" s="69">
        <f>13236191.12+157122.69+16238.93-2000-65000+5133.89+41071.13+18648.88</f>
        <v>13407406.640000001</v>
      </c>
      <c r="G6" s="69">
        <f>1857739.01+84163.55+59800+2000-52000</f>
        <v>1951702.56</v>
      </c>
      <c r="H6" s="69" t="s">
        <v>20</v>
      </c>
      <c r="I6" s="69" t="s">
        <v>20</v>
      </c>
      <c r="J6" s="69">
        <f>2000</f>
        <v>2000</v>
      </c>
      <c r="K6" s="69">
        <f>D6+E6+F6+G6+H6+I6+J6</f>
        <v>16293342.960000001</v>
      </c>
    </row>
    <row r="7" spans="1:11" s="21" customFormat="1" ht="15" x14ac:dyDescent="0.25">
      <c r="A7" s="82"/>
      <c r="B7" s="80" t="s">
        <v>21</v>
      </c>
      <c r="C7" s="81" t="s">
        <v>22</v>
      </c>
      <c r="D7" s="69" t="s">
        <v>20</v>
      </c>
      <c r="E7" s="69" t="s">
        <v>20</v>
      </c>
      <c r="F7" s="69">
        <v>33060</v>
      </c>
      <c r="G7" s="69" t="s">
        <v>20</v>
      </c>
      <c r="H7" s="69" t="s">
        <v>20</v>
      </c>
      <c r="I7" s="69" t="s">
        <v>20</v>
      </c>
      <c r="J7" s="69" t="s">
        <v>20</v>
      </c>
      <c r="K7" s="69">
        <f t="shared" ref="K7:K13" si="0">D7+E7+F7+G7+H7+I7+J7</f>
        <v>33060</v>
      </c>
    </row>
    <row r="8" spans="1:11" s="21" customFormat="1" ht="28.5" x14ac:dyDescent="0.25">
      <c r="A8" s="82"/>
      <c r="B8" s="80" t="s">
        <v>23</v>
      </c>
      <c r="C8" s="81" t="s">
        <v>24</v>
      </c>
      <c r="D8" s="69">
        <f>243438.57-41988.42</f>
        <v>201450.15000000002</v>
      </c>
      <c r="E8" s="69">
        <v>10200</v>
      </c>
      <c r="F8" s="69">
        <f>2636854.5+3880.3-13510.74</f>
        <v>2627224.0599999996</v>
      </c>
      <c r="G8" s="69" t="s">
        <v>20</v>
      </c>
      <c r="H8" s="69" t="s">
        <v>20</v>
      </c>
      <c r="I8" s="69">
        <v>6000</v>
      </c>
      <c r="J8" s="69">
        <v>71955.5</v>
      </c>
      <c r="K8" s="69">
        <f t="shared" si="0"/>
        <v>2916829.7099999995</v>
      </c>
    </row>
    <row r="9" spans="1:11" s="21" customFormat="1" ht="15" x14ac:dyDescent="0.25">
      <c r="A9" s="82"/>
      <c r="B9" s="80" t="s">
        <v>25</v>
      </c>
      <c r="C9" s="81" t="s">
        <v>26</v>
      </c>
      <c r="D9" s="69" t="s">
        <v>20</v>
      </c>
      <c r="E9" s="69">
        <v>235000</v>
      </c>
      <c r="F9" s="69">
        <v>4500</v>
      </c>
      <c r="G9" s="69" t="s">
        <v>20</v>
      </c>
      <c r="H9" s="69" t="s">
        <v>20</v>
      </c>
      <c r="I9" s="69" t="s">
        <v>20</v>
      </c>
      <c r="J9" s="69">
        <v>6000</v>
      </c>
      <c r="K9" s="69">
        <f t="shared" si="0"/>
        <v>245500</v>
      </c>
    </row>
    <row r="10" spans="1:11" s="21" customFormat="1" ht="15" x14ac:dyDescent="0.25">
      <c r="A10" s="82"/>
      <c r="B10" s="80" t="s">
        <v>27</v>
      </c>
      <c r="C10" s="81" t="s">
        <v>28</v>
      </c>
      <c r="D10" s="69" t="s">
        <v>20</v>
      </c>
      <c r="E10" s="69" t="s">
        <v>20</v>
      </c>
      <c r="F10" s="69">
        <f>330950+1050</f>
        <v>332000</v>
      </c>
      <c r="G10" s="69" t="s">
        <v>20</v>
      </c>
      <c r="H10" s="69" t="s">
        <v>20</v>
      </c>
      <c r="I10" s="69" t="s">
        <v>20</v>
      </c>
      <c r="J10" s="69">
        <f>12100-12100</f>
        <v>0</v>
      </c>
      <c r="K10" s="69">
        <f t="shared" si="0"/>
        <v>332000</v>
      </c>
    </row>
    <row r="11" spans="1:11" s="21" customFormat="1" ht="15" x14ac:dyDescent="0.25">
      <c r="A11" s="82"/>
      <c r="B11" s="80" t="s">
        <v>29</v>
      </c>
      <c r="C11" s="81" t="s">
        <v>30</v>
      </c>
      <c r="D11" s="69" t="s">
        <v>20</v>
      </c>
      <c r="E11" s="69" t="s">
        <v>20</v>
      </c>
      <c r="F11" s="69">
        <f>1160744.2+5500+34513.99+12082.82</f>
        <v>1212841.01</v>
      </c>
      <c r="G11" s="69" t="s">
        <v>20</v>
      </c>
      <c r="H11" s="69" t="s">
        <v>20</v>
      </c>
      <c r="I11" s="69" t="s">
        <v>20</v>
      </c>
      <c r="J11" s="69">
        <v>0</v>
      </c>
      <c r="K11" s="69">
        <f t="shared" si="0"/>
        <v>1212841.01</v>
      </c>
    </row>
    <row r="12" spans="1:11" s="21" customFormat="1" ht="15" x14ac:dyDescent="0.25">
      <c r="A12" s="82"/>
      <c r="B12" s="80" t="s">
        <v>31</v>
      </c>
      <c r="C12" s="81" t="s">
        <v>32</v>
      </c>
      <c r="D12" s="69">
        <f>380+400-400</f>
        <v>380</v>
      </c>
      <c r="E12" s="69">
        <f>4146+1785-1785</f>
        <v>4146</v>
      </c>
      <c r="F12" s="69">
        <f>65800+18204+5400+25000-4000-9119.7</f>
        <v>101284.3</v>
      </c>
      <c r="G12" s="69" t="s">
        <v>20</v>
      </c>
      <c r="H12" s="69" t="s">
        <v>20</v>
      </c>
      <c r="I12" s="69">
        <f>80676.07+6524.18-5400+4000+22673.37</f>
        <v>108473.62</v>
      </c>
      <c r="J12" s="69" t="s">
        <v>20</v>
      </c>
      <c r="K12" s="69">
        <f>D12+E12+F12+G12+H12+I12+J12</f>
        <v>214283.91999999998</v>
      </c>
    </row>
    <row r="13" spans="1:11" s="21" customFormat="1" ht="15" x14ac:dyDescent="0.25">
      <c r="A13" s="82"/>
      <c r="B13" s="80" t="s">
        <v>33</v>
      </c>
      <c r="C13" s="81" t="s">
        <v>34</v>
      </c>
      <c r="D13" s="69">
        <v>0</v>
      </c>
      <c r="E13" s="69">
        <f>230</f>
        <v>230</v>
      </c>
      <c r="F13" s="69">
        <f>7200+10777.54-11432.36</f>
        <v>6545.18</v>
      </c>
      <c r="G13" s="69">
        <f>11010+200</f>
        <v>11210</v>
      </c>
      <c r="H13" s="69">
        <v>500</v>
      </c>
      <c r="I13" s="69" t="s">
        <v>20</v>
      </c>
      <c r="J13" s="69">
        <v>2000</v>
      </c>
      <c r="K13" s="69">
        <f t="shared" si="0"/>
        <v>20485.18</v>
      </c>
    </row>
    <row r="14" spans="1:11" s="21" customFormat="1" ht="28.5" x14ac:dyDescent="0.2">
      <c r="A14" s="19" t="s">
        <v>16</v>
      </c>
      <c r="B14" s="83"/>
      <c r="C14" s="84" t="s">
        <v>35</v>
      </c>
      <c r="D14" s="70">
        <f>SUM(D6:D13)</f>
        <v>201830.15000000002</v>
      </c>
      <c r="E14" s="70">
        <f t="shared" ref="E14:J14" si="1">SUM(E6:E13)</f>
        <v>1181809.76</v>
      </c>
      <c r="F14" s="70">
        <f>SUM(F6:F13)</f>
        <v>17724861.190000001</v>
      </c>
      <c r="G14" s="70">
        <f t="shared" si="1"/>
        <v>1962912.56</v>
      </c>
      <c r="H14" s="70">
        <f t="shared" si="1"/>
        <v>500</v>
      </c>
      <c r="I14" s="70">
        <f>SUM(I6:I13)</f>
        <v>114473.62</v>
      </c>
      <c r="J14" s="70">
        <f t="shared" si="1"/>
        <v>81955.5</v>
      </c>
      <c r="K14" s="70">
        <f>D14+E14+F14+G14+H14+I14+J14</f>
        <v>21268342.780000001</v>
      </c>
    </row>
    <row r="15" spans="1:11" s="21" customFormat="1" x14ac:dyDescent="0.2">
      <c r="C15" s="85"/>
    </row>
    <row r="16" spans="1:11" s="21" customFormat="1" x14ac:dyDescent="0.2">
      <c r="B16" s="77" t="s">
        <v>242</v>
      </c>
      <c r="C16" s="78" t="s">
        <v>243</v>
      </c>
      <c r="D16" s="251" t="s">
        <v>9</v>
      </c>
      <c r="E16" s="20" t="s">
        <v>10</v>
      </c>
      <c r="F16" s="20" t="s">
        <v>11</v>
      </c>
      <c r="G16" s="20" t="s">
        <v>12</v>
      </c>
      <c r="H16" s="20" t="s">
        <v>13</v>
      </c>
      <c r="I16" s="20" t="s">
        <v>14</v>
      </c>
      <c r="J16" s="20" t="s">
        <v>15</v>
      </c>
      <c r="K16" s="73"/>
    </row>
    <row r="17" spans="1:11" s="21" customFormat="1" x14ac:dyDescent="0.2">
      <c r="B17" s="80" t="s">
        <v>41</v>
      </c>
      <c r="C17" s="81" t="s">
        <v>245</v>
      </c>
      <c r="D17" s="69" t="s">
        <v>20</v>
      </c>
      <c r="E17" s="69" t="s">
        <v>20</v>
      </c>
      <c r="F17" s="69" t="s">
        <v>20</v>
      </c>
      <c r="G17" s="69">
        <v>100000</v>
      </c>
      <c r="H17" s="69" t="s">
        <v>20</v>
      </c>
      <c r="I17" s="69" t="s">
        <v>20</v>
      </c>
      <c r="J17" s="69">
        <v>0</v>
      </c>
      <c r="K17" s="69">
        <f>D17+E17+F17+G17+H17+I17+J17</f>
        <v>100000</v>
      </c>
    </row>
    <row r="18" spans="1:11" s="21" customFormat="1" ht="28.5" x14ac:dyDescent="0.2">
      <c r="B18" s="83"/>
      <c r="C18" s="84" t="s">
        <v>244</v>
      </c>
      <c r="D18" s="70">
        <f t="shared" ref="D18:J18" si="2">SUM(D17:D17)</f>
        <v>0</v>
      </c>
      <c r="E18" s="70">
        <f t="shared" si="2"/>
        <v>0</v>
      </c>
      <c r="F18" s="70">
        <f t="shared" si="2"/>
        <v>0</v>
      </c>
      <c r="G18" s="70">
        <f t="shared" si="2"/>
        <v>100000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>D18+E18+F18+G18+H18+I18+J18</f>
        <v>100000</v>
      </c>
    </row>
    <row r="19" spans="1:11" s="21" customFormat="1" x14ac:dyDescent="0.2">
      <c r="C19" s="85"/>
    </row>
    <row r="20" spans="1:11" s="21" customFormat="1" ht="28.5" x14ac:dyDescent="0.2">
      <c r="A20" s="74"/>
      <c r="B20" s="77" t="s">
        <v>25</v>
      </c>
      <c r="C20" s="78" t="s">
        <v>36</v>
      </c>
      <c r="D20" s="20" t="s">
        <v>9</v>
      </c>
      <c r="E20" s="20" t="s">
        <v>10</v>
      </c>
      <c r="F20" s="20" t="s">
        <v>11</v>
      </c>
      <c r="G20" s="20" t="s">
        <v>12</v>
      </c>
      <c r="H20" s="20" t="s">
        <v>13</v>
      </c>
      <c r="I20" s="20" t="s">
        <v>14</v>
      </c>
      <c r="J20" s="20" t="s">
        <v>15</v>
      </c>
      <c r="K20" s="73"/>
    </row>
    <row r="21" spans="1:11" s="21" customFormat="1" ht="15" x14ac:dyDescent="0.25">
      <c r="A21" s="79" t="s">
        <v>37</v>
      </c>
      <c r="B21" s="80" t="s">
        <v>17</v>
      </c>
      <c r="C21" s="81" t="s">
        <v>38</v>
      </c>
      <c r="D21" s="69" t="s">
        <v>20</v>
      </c>
      <c r="E21" s="69" t="s">
        <v>20</v>
      </c>
      <c r="F21" s="69" t="s">
        <v>20</v>
      </c>
      <c r="G21" s="69">
        <v>200000</v>
      </c>
      <c r="H21" s="69" t="s">
        <v>20</v>
      </c>
      <c r="I21" s="69" t="s">
        <v>20</v>
      </c>
      <c r="J21" s="69">
        <v>0</v>
      </c>
      <c r="K21" s="69">
        <f>D21+E21+F21+G21+H21+I21+J21</f>
        <v>200000</v>
      </c>
    </row>
    <row r="22" spans="1:11" s="21" customFormat="1" ht="28.5" x14ac:dyDescent="0.25">
      <c r="A22" s="82"/>
      <c r="B22" s="80" t="s">
        <v>21</v>
      </c>
      <c r="C22" s="81" t="s">
        <v>39</v>
      </c>
      <c r="D22" s="69" t="s">
        <v>20</v>
      </c>
      <c r="E22" s="69" t="s">
        <v>20</v>
      </c>
      <c r="F22" s="69">
        <f>669266.1+16920+50000+33333.79-18000-34445-51067.22</f>
        <v>666007.67000000004</v>
      </c>
      <c r="G22" s="69">
        <f>620500+325000+10000+59875.54+18000+34445-17673.34</f>
        <v>1050147.2</v>
      </c>
      <c r="H22" s="69" t="s">
        <v>20</v>
      </c>
      <c r="I22" s="69" t="s">
        <v>20</v>
      </c>
      <c r="J22" s="69">
        <v>0</v>
      </c>
      <c r="K22" s="69">
        <f>D22+E22+F22+G22+H22+I22+J22</f>
        <v>1716154.87</v>
      </c>
    </row>
    <row r="23" spans="1:11" s="21" customFormat="1" ht="44.25" customHeight="1" x14ac:dyDescent="0.2">
      <c r="A23" s="19" t="s">
        <v>37</v>
      </c>
      <c r="B23" s="83"/>
      <c r="C23" s="84" t="s">
        <v>40</v>
      </c>
      <c r="D23" s="70">
        <f>SUM(D21:D22)</f>
        <v>0</v>
      </c>
      <c r="E23" s="70">
        <f t="shared" ref="E23:J23" si="3">SUM(E21:E22)</f>
        <v>0</v>
      </c>
      <c r="F23" s="70">
        <f>SUM(F21:F22)</f>
        <v>666007.67000000004</v>
      </c>
      <c r="G23" s="70">
        <f t="shared" si="3"/>
        <v>1250147.2</v>
      </c>
      <c r="H23" s="70">
        <f t="shared" si="3"/>
        <v>0</v>
      </c>
      <c r="I23" s="70">
        <f t="shared" si="3"/>
        <v>0</v>
      </c>
      <c r="J23" s="70">
        <f t="shared" si="3"/>
        <v>0</v>
      </c>
      <c r="K23" s="70">
        <f>D23+E23+F23+G23+H23+I23+J23</f>
        <v>1916154.87</v>
      </c>
    </row>
    <row r="24" spans="1:11" s="21" customFormat="1" x14ac:dyDescent="0.2">
      <c r="C24" s="85"/>
    </row>
    <row r="25" spans="1:11" s="21" customFormat="1" ht="28.5" x14ac:dyDescent="0.2">
      <c r="A25" s="74"/>
      <c r="B25" s="77" t="s">
        <v>27</v>
      </c>
      <c r="C25" s="78" t="s">
        <v>209</v>
      </c>
      <c r="D25" s="20" t="s">
        <v>9</v>
      </c>
      <c r="E25" s="20" t="s">
        <v>10</v>
      </c>
      <c r="F25" s="20" t="s">
        <v>11</v>
      </c>
      <c r="G25" s="20" t="s">
        <v>12</v>
      </c>
      <c r="H25" s="20" t="s">
        <v>13</v>
      </c>
      <c r="I25" s="20" t="s">
        <v>14</v>
      </c>
      <c r="J25" s="20" t="s">
        <v>15</v>
      </c>
      <c r="K25" s="73"/>
    </row>
    <row r="26" spans="1:11" s="21" customFormat="1" ht="28.5" customHeight="1" x14ac:dyDescent="0.25">
      <c r="A26" s="79" t="s">
        <v>37</v>
      </c>
      <c r="B26" s="80" t="s">
        <v>17</v>
      </c>
      <c r="C26" s="81" t="s">
        <v>208</v>
      </c>
      <c r="D26" s="69" t="s">
        <v>20</v>
      </c>
      <c r="E26" s="69" t="s">
        <v>20</v>
      </c>
      <c r="F26" s="69" t="s">
        <v>20</v>
      </c>
      <c r="G26" s="69">
        <v>25000</v>
      </c>
      <c r="H26" s="69" t="s">
        <v>20</v>
      </c>
      <c r="I26" s="69" t="s">
        <v>20</v>
      </c>
      <c r="J26" s="69">
        <v>0</v>
      </c>
      <c r="K26" s="69">
        <f>D26+E26+F26+G26+H26+I26+J26</f>
        <v>25000</v>
      </c>
    </row>
    <row r="27" spans="1:11" s="21" customFormat="1" ht="15.75" customHeight="1" x14ac:dyDescent="0.25">
      <c r="A27" s="79"/>
      <c r="B27" s="80" t="s">
        <v>21</v>
      </c>
      <c r="C27" s="81" t="s">
        <v>246</v>
      </c>
      <c r="D27" s="69" t="s">
        <v>20</v>
      </c>
      <c r="E27" s="69" t="s">
        <v>20</v>
      </c>
      <c r="F27" s="69">
        <v>0</v>
      </c>
      <c r="G27" s="69">
        <v>0</v>
      </c>
      <c r="H27" s="69" t="s">
        <v>20</v>
      </c>
      <c r="I27" s="69" t="s">
        <v>20</v>
      </c>
      <c r="J27" s="69">
        <v>0</v>
      </c>
      <c r="K27" s="69">
        <f>D27+E27+F27+G27+H27+I27+J27</f>
        <v>0</v>
      </c>
    </row>
    <row r="28" spans="1:11" s="21" customFormat="1" ht="28.5" x14ac:dyDescent="0.2">
      <c r="A28" s="19" t="s">
        <v>37</v>
      </c>
      <c r="B28" s="83"/>
      <c r="C28" s="84" t="s">
        <v>210</v>
      </c>
      <c r="D28" s="70">
        <f>SUM(D26:D27)</f>
        <v>0</v>
      </c>
      <c r="E28" s="70">
        <f t="shared" ref="E28:J28" si="4">SUM(E26:E27)</f>
        <v>0</v>
      </c>
      <c r="F28" s="70">
        <f t="shared" si="4"/>
        <v>0</v>
      </c>
      <c r="G28" s="70">
        <f t="shared" si="4"/>
        <v>25000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>D28+E28+F28+G28+H28+I28+J28</f>
        <v>25000</v>
      </c>
    </row>
    <row r="29" spans="1:11" s="21" customFormat="1" x14ac:dyDescent="0.2">
      <c r="C29" s="85"/>
    </row>
    <row r="30" spans="1:11" s="21" customFormat="1" x14ac:dyDescent="0.2">
      <c r="A30" s="74"/>
      <c r="B30" s="77" t="s">
        <v>41</v>
      </c>
      <c r="C30" s="78" t="s">
        <v>42</v>
      </c>
      <c r="D30" s="20" t="s">
        <v>9</v>
      </c>
      <c r="E30" s="20" t="s">
        <v>10</v>
      </c>
      <c r="F30" s="20" t="s">
        <v>11</v>
      </c>
      <c r="G30" s="20" t="s">
        <v>12</v>
      </c>
      <c r="H30" s="20" t="s">
        <v>13</v>
      </c>
      <c r="I30" s="20" t="s">
        <v>14</v>
      </c>
      <c r="J30" s="20" t="s">
        <v>15</v>
      </c>
      <c r="K30" s="73"/>
    </row>
    <row r="31" spans="1:11" s="21" customFormat="1" ht="15" x14ac:dyDescent="0.25">
      <c r="A31" s="79" t="s">
        <v>43</v>
      </c>
      <c r="B31" s="80" t="s">
        <v>17</v>
      </c>
      <c r="C31" s="81" t="s">
        <v>44</v>
      </c>
      <c r="D31" s="69" t="s">
        <v>20</v>
      </c>
      <c r="E31" s="69" t="s">
        <v>20</v>
      </c>
      <c r="F31" s="69" t="s">
        <v>20</v>
      </c>
      <c r="G31" s="69">
        <v>0</v>
      </c>
      <c r="H31" s="69" t="s">
        <v>20</v>
      </c>
      <c r="I31" s="69" t="s">
        <v>20</v>
      </c>
      <c r="J31" s="69" t="s">
        <v>20</v>
      </c>
      <c r="K31" s="69">
        <f>D31+E31+F31+G31+H31+I31+J31</f>
        <v>0</v>
      </c>
    </row>
    <row r="32" spans="1:11" s="21" customFormat="1" ht="15" x14ac:dyDescent="0.2">
      <c r="A32" s="19" t="s">
        <v>43</v>
      </c>
      <c r="B32" s="83"/>
      <c r="C32" s="84" t="s">
        <v>45</v>
      </c>
      <c r="D32" s="70">
        <f>SUM(D31)</f>
        <v>0</v>
      </c>
      <c r="E32" s="70">
        <f t="shared" ref="E32:J32" si="5">SUM(E31)</f>
        <v>0</v>
      </c>
      <c r="F32" s="70">
        <f t="shared" si="5"/>
        <v>0</v>
      </c>
      <c r="G32" s="70">
        <f t="shared" si="5"/>
        <v>0</v>
      </c>
      <c r="H32" s="70">
        <f t="shared" si="5"/>
        <v>0</v>
      </c>
      <c r="I32" s="70">
        <f t="shared" si="5"/>
        <v>0</v>
      </c>
      <c r="J32" s="70">
        <f t="shared" si="5"/>
        <v>0</v>
      </c>
      <c r="K32" s="70">
        <f>D32+E32+F32+G32+H32+I32+J32</f>
        <v>0</v>
      </c>
    </row>
    <row r="33" spans="1:11" s="21" customFormat="1" x14ac:dyDescent="0.2">
      <c r="C33" s="85"/>
    </row>
    <row r="34" spans="1:11" s="21" customFormat="1" ht="28.5" x14ac:dyDescent="0.2">
      <c r="A34" s="74"/>
      <c r="B34" s="77" t="s">
        <v>46</v>
      </c>
      <c r="C34" s="78" t="s">
        <v>47</v>
      </c>
      <c r="D34" s="20" t="s">
        <v>9</v>
      </c>
      <c r="E34" s="20" t="s">
        <v>10</v>
      </c>
      <c r="F34" s="20" t="s">
        <v>11</v>
      </c>
      <c r="G34" s="20" t="s">
        <v>12</v>
      </c>
      <c r="H34" s="20" t="s">
        <v>13</v>
      </c>
      <c r="I34" s="20" t="s">
        <v>14</v>
      </c>
      <c r="J34" s="20" t="s">
        <v>15</v>
      </c>
      <c r="K34" s="73"/>
    </row>
    <row r="35" spans="1:11" s="21" customFormat="1" ht="15" x14ac:dyDescent="0.25">
      <c r="A35" s="79" t="s">
        <v>48</v>
      </c>
      <c r="B35" s="80" t="s">
        <v>21</v>
      </c>
      <c r="C35" s="81" t="s">
        <v>49</v>
      </c>
      <c r="D35" s="69" t="s">
        <v>20</v>
      </c>
      <c r="E35" s="69" t="s">
        <v>20</v>
      </c>
      <c r="F35" s="69">
        <v>0</v>
      </c>
      <c r="G35" s="69">
        <v>0</v>
      </c>
      <c r="H35" s="69" t="s">
        <v>20</v>
      </c>
      <c r="I35" s="69" t="s">
        <v>20</v>
      </c>
      <c r="J35" s="69" t="s">
        <v>20</v>
      </c>
      <c r="K35" s="69">
        <f>D35+E35+F35+G35+H35+I35+J35</f>
        <v>0</v>
      </c>
    </row>
    <row r="36" spans="1:11" s="21" customFormat="1" ht="15" x14ac:dyDescent="0.25">
      <c r="A36" s="82"/>
      <c r="B36" s="80" t="s">
        <v>23</v>
      </c>
      <c r="C36" s="81" t="s">
        <v>50</v>
      </c>
      <c r="D36" s="69" t="s">
        <v>20</v>
      </c>
      <c r="E36" s="69" t="s">
        <v>20</v>
      </c>
      <c r="F36" s="69">
        <f>3400+10000</f>
        <v>13400</v>
      </c>
      <c r="G36" s="69">
        <v>0</v>
      </c>
      <c r="H36" s="69" t="s">
        <v>20</v>
      </c>
      <c r="I36" s="69" t="s">
        <v>20</v>
      </c>
      <c r="J36" s="69" t="s">
        <v>20</v>
      </c>
      <c r="K36" s="69">
        <f>D36+E36+F36+G36+H36+I36+J36</f>
        <v>13400</v>
      </c>
    </row>
    <row r="37" spans="1:11" s="21" customFormat="1" ht="42.75" customHeight="1" x14ac:dyDescent="0.2">
      <c r="A37" s="19" t="s">
        <v>48</v>
      </c>
      <c r="B37" s="83"/>
      <c r="C37" s="84" t="s">
        <v>51</v>
      </c>
      <c r="D37" s="70">
        <f>SUM(D35:D36)</f>
        <v>0</v>
      </c>
      <c r="E37" s="70">
        <f t="shared" ref="E37:J37" si="6">SUM(E35:E36)</f>
        <v>0</v>
      </c>
      <c r="F37" s="70">
        <f t="shared" si="6"/>
        <v>13400</v>
      </c>
      <c r="G37" s="70">
        <f t="shared" si="6"/>
        <v>0</v>
      </c>
      <c r="H37" s="70">
        <f t="shared" si="6"/>
        <v>0</v>
      </c>
      <c r="I37" s="70">
        <f t="shared" si="6"/>
        <v>0</v>
      </c>
      <c r="J37" s="70">
        <f t="shared" si="6"/>
        <v>0</v>
      </c>
      <c r="K37" s="70">
        <f>D37+E37+F37+G37+H37+I37+J37</f>
        <v>13400</v>
      </c>
    </row>
    <row r="38" spans="1:11" s="21" customFormat="1" x14ac:dyDescent="0.2">
      <c r="C38" s="85"/>
    </row>
    <row r="39" spans="1:11" s="21" customFormat="1" x14ac:dyDescent="0.2">
      <c r="A39" s="74"/>
      <c r="B39" s="77" t="s">
        <v>33</v>
      </c>
      <c r="C39" s="78" t="s">
        <v>52</v>
      </c>
      <c r="D39" s="20" t="s">
        <v>9</v>
      </c>
      <c r="E39" s="20" t="s">
        <v>10</v>
      </c>
      <c r="F39" s="20" t="s">
        <v>11</v>
      </c>
      <c r="G39" s="20" t="s">
        <v>12</v>
      </c>
      <c r="H39" s="20" t="s">
        <v>13</v>
      </c>
      <c r="I39" s="20" t="s">
        <v>14</v>
      </c>
      <c r="J39" s="20" t="s">
        <v>15</v>
      </c>
      <c r="K39" s="73"/>
    </row>
    <row r="40" spans="1:11" s="21" customFormat="1" ht="15" x14ac:dyDescent="0.25">
      <c r="A40" s="79" t="s">
        <v>53</v>
      </c>
      <c r="B40" s="80" t="s">
        <v>21</v>
      </c>
      <c r="C40" s="81" t="s">
        <v>54</v>
      </c>
      <c r="D40" s="69" t="s">
        <v>20</v>
      </c>
      <c r="E40" s="69" t="s">
        <v>20</v>
      </c>
      <c r="F40" s="69" t="s">
        <v>20</v>
      </c>
      <c r="G40" s="69">
        <v>0</v>
      </c>
      <c r="H40" s="69" t="s">
        <v>20</v>
      </c>
      <c r="I40" s="69" t="s">
        <v>20</v>
      </c>
      <c r="J40" s="69" t="s">
        <v>20</v>
      </c>
      <c r="K40" s="69">
        <f>D40+E40+F40+G40+H40+I40+J40</f>
        <v>0</v>
      </c>
    </row>
    <row r="41" spans="1:11" s="21" customFormat="1" ht="15" x14ac:dyDescent="0.2">
      <c r="A41" s="19" t="s">
        <v>53</v>
      </c>
      <c r="B41" s="83"/>
      <c r="C41" s="84" t="s">
        <v>55</v>
      </c>
      <c r="D41" s="70">
        <f>SUM(D40)</f>
        <v>0</v>
      </c>
      <c r="E41" s="70">
        <f t="shared" ref="E41:J41" si="7">SUM(E40)</f>
        <v>0</v>
      </c>
      <c r="F41" s="70">
        <f t="shared" si="7"/>
        <v>0</v>
      </c>
      <c r="G41" s="70">
        <f t="shared" si="7"/>
        <v>0</v>
      </c>
      <c r="H41" s="70">
        <f t="shared" si="7"/>
        <v>0</v>
      </c>
      <c r="I41" s="70">
        <f t="shared" si="7"/>
        <v>0</v>
      </c>
      <c r="J41" s="70">
        <f t="shared" si="7"/>
        <v>0</v>
      </c>
      <c r="K41" s="70">
        <f>D41+E41+F41+G41+H41+I41+J41</f>
        <v>0</v>
      </c>
    </row>
    <row r="42" spans="1:11" s="21" customFormat="1" x14ac:dyDescent="0.2">
      <c r="C42" s="85"/>
    </row>
    <row r="43" spans="1:11" s="21" customFormat="1" ht="28.5" x14ac:dyDescent="0.2">
      <c r="A43" s="74"/>
      <c r="B43" s="77" t="s">
        <v>56</v>
      </c>
      <c r="C43" s="78" t="s">
        <v>57</v>
      </c>
      <c r="D43" s="20" t="s">
        <v>9</v>
      </c>
      <c r="E43" s="20" t="s">
        <v>10</v>
      </c>
      <c r="F43" s="20" t="s">
        <v>11</v>
      </c>
      <c r="G43" s="20" t="s">
        <v>12</v>
      </c>
      <c r="H43" s="20" t="s">
        <v>13</v>
      </c>
      <c r="I43" s="20" t="s">
        <v>14</v>
      </c>
      <c r="J43" s="20" t="s">
        <v>15</v>
      </c>
      <c r="K43" s="73"/>
    </row>
    <row r="44" spans="1:11" s="21" customFormat="1" ht="28.5" x14ac:dyDescent="0.2">
      <c r="A44" s="74"/>
      <c r="B44" s="80" t="s">
        <v>41</v>
      </c>
      <c r="C44" s="81" t="s">
        <v>257</v>
      </c>
      <c r="D44" s="69" t="s">
        <v>20</v>
      </c>
      <c r="E44" s="69" t="s">
        <v>20</v>
      </c>
      <c r="F44" s="69" t="s">
        <v>20</v>
      </c>
      <c r="G44" s="69">
        <v>12200</v>
      </c>
      <c r="H44" s="69" t="s">
        <v>20</v>
      </c>
      <c r="I44" s="69" t="s">
        <v>20</v>
      </c>
      <c r="J44" s="69" t="s">
        <v>20</v>
      </c>
      <c r="K44" s="69">
        <f>D44+E44+F44+G44+H44+I44+J44</f>
        <v>12200</v>
      </c>
    </row>
    <row r="45" spans="1:11" s="21" customFormat="1" ht="31.5" customHeight="1" x14ac:dyDescent="0.2">
      <c r="A45" s="74"/>
      <c r="B45" s="80" t="s">
        <v>29</v>
      </c>
      <c r="C45" s="81" t="s">
        <v>207</v>
      </c>
      <c r="D45" s="69" t="s">
        <v>20</v>
      </c>
      <c r="E45" s="69" t="s">
        <v>20</v>
      </c>
      <c r="F45" s="69" t="s">
        <v>20</v>
      </c>
      <c r="G45" s="69">
        <v>0</v>
      </c>
      <c r="H45" s="69" t="s">
        <v>20</v>
      </c>
      <c r="I45" s="69" t="s">
        <v>20</v>
      </c>
      <c r="J45" s="69" t="s">
        <v>20</v>
      </c>
      <c r="K45" s="69">
        <f>D45+E45+F45+G45+H45+I45+J45</f>
        <v>0</v>
      </c>
    </row>
    <row r="46" spans="1:11" s="21" customFormat="1" ht="28.5" x14ac:dyDescent="0.25">
      <c r="A46" s="79" t="s">
        <v>58</v>
      </c>
      <c r="B46" s="80" t="s">
        <v>31</v>
      </c>
      <c r="C46" s="81" t="s">
        <v>59</v>
      </c>
      <c r="D46" s="69" t="s">
        <v>20</v>
      </c>
      <c r="E46" s="69" t="s">
        <v>20</v>
      </c>
      <c r="F46" s="69" t="s">
        <v>20</v>
      </c>
      <c r="G46" s="69">
        <f>12200-12200</f>
        <v>0</v>
      </c>
      <c r="H46" s="69" t="s">
        <v>20</v>
      </c>
      <c r="I46" s="69" t="s">
        <v>20</v>
      </c>
      <c r="J46" s="69" t="s">
        <v>20</v>
      </c>
      <c r="K46" s="69">
        <f>D46+E46+F46+G46+H46+I46+J46</f>
        <v>0</v>
      </c>
    </row>
    <row r="47" spans="1:11" s="21" customFormat="1" ht="28.5" x14ac:dyDescent="0.2">
      <c r="A47" s="19" t="s">
        <v>58</v>
      </c>
      <c r="B47" s="83"/>
      <c r="C47" s="84" t="s">
        <v>60</v>
      </c>
      <c r="D47" s="70">
        <f>SUM(D44:D46)</f>
        <v>0</v>
      </c>
      <c r="E47" s="70">
        <f t="shared" ref="E47:K47" si="8">SUM(E44:E46)</f>
        <v>0</v>
      </c>
      <c r="F47" s="70">
        <f t="shared" si="8"/>
        <v>0</v>
      </c>
      <c r="G47" s="70">
        <f t="shared" si="8"/>
        <v>12200</v>
      </c>
      <c r="H47" s="70">
        <f t="shared" si="8"/>
        <v>0</v>
      </c>
      <c r="I47" s="70">
        <f t="shared" si="8"/>
        <v>0</v>
      </c>
      <c r="J47" s="70">
        <f t="shared" si="8"/>
        <v>0</v>
      </c>
      <c r="K47" s="70">
        <f t="shared" si="8"/>
        <v>12200</v>
      </c>
    </row>
    <row r="48" spans="1:11" s="21" customFormat="1" x14ac:dyDescent="0.2">
      <c r="C48" s="85"/>
    </row>
    <row r="49" spans="1:11" s="21" customFormat="1" ht="28.5" x14ac:dyDescent="0.2">
      <c r="A49" s="74"/>
      <c r="B49" s="77" t="s">
        <v>61</v>
      </c>
      <c r="C49" s="78" t="s">
        <v>62</v>
      </c>
      <c r="D49" s="20" t="s">
        <v>9</v>
      </c>
      <c r="E49" s="20" t="s">
        <v>10</v>
      </c>
      <c r="F49" s="20" t="s">
        <v>11</v>
      </c>
      <c r="G49" s="20" t="s">
        <v>12</v>
      </c>
      <c r="H49" s="20" t="s">
        <v>13</v>
      </c>
      <c r="I49" s="20" t="s">
        <v>14</v>
      </c>
      <c r="J49" s="20" t="s">
        <v>15</v>
      </c>
      <c r="K49" s="73"/>
    </row>
    <row r="50" spans="1:11" s="21" customFormat="1" x14ac:dyDescent="0.2">
      <c r="A50" s="74"/>
      <c r="B50" s="80" t="s">
        <v>17</v>
      </c>
      <c r="C50" s="81" t="s">
        <v>255</v>
      </c>
      <c r="D50" s="69" t="s">
        <v>20</v>
      </c>
      <c r="E50" s="69" t="s">
        <v>20</v>
      </c>
      <c r="F50" s="69">
        <v>65000</v>
      </c>
      <c r="G50" s="69">
        <v>50000</v>
      </c>
      <c r="H50" s="69" t="s">
        <v>20</v>
      </c>
      <c r="I50" s="69" t="s">
        <v>20</v>
      </c>
      <c r="J50" s="69" t="s">
        <v>20</v>
      </c>
      <c r="K50" s="69">
        <f>D50+E50+F50+G50+H50+I50+J50</f>
        <v>115000</v>
      </c>
    </row>
    <row r="51" spans="1:11" s="21" customFormat="1" ht="28.5" x14ac:dyDescent="0.25">
      <c r="A51" s="79" t="s">
        <v>63</v>
      </c>
      <c r="B51" s="80" t="s">
        <v>21</v>
      </c>
      <c r="C51" s="81" t="s">
        <v>64</v>
      </c>
      <c r="D51" s="69" t="s">
        <v>20</v>
      </c>
      <c r="E51" s="69" t="s">
        <v>20</v>
      </c>
      <c r="F51" s="69" t="s">
        <v>20</v>
      </c>
      <c r="G51" s="69">
        <v>0</v>
      </c>
      <c r="H51" s="69" t="s">
        <v>20</v>
      </c>
      <c r="I51" s="69" t="s">
        <v>20</v>
      </c>
      <c r="J51" s="69" t="s">
        <v>20</v>
      </c>
      <c r="K51" s="69">
        <f>D51+E51+F51+G51+H51+I51+J51</f>
        <v>0</v>
      </c>
    </row>
    <row r="52" spans="1:11" s="21" customFormat="1" ht="15" x14ac:dyDescent="0.25">
      <c r="A52" s="82"/>
      <c r="B52" s="80" t="s">
        <v>23</v>
      </c>
      <c r="C52" s="81" t="s">
        <v>65</v>
      </c>
      <c r="D52" s="69" t="s">
        <v>20</v>
      </c>
      <c r="E52" s="69" t="s">
        <v>20</v>
      </c>
      <c r="F52" s="174">
        <f>31720+8280+2000</f>
        <v>42000</v>
      </c>
      <c r="G52" s="174">
        <f>118280-8280</f>
        <v>110000</v>
      </c>
      <c r="H52" s="69" t="s">
        <v>20</v>
      </c>
      <c r="I52" s="69" t="s">
        <v>20</v>
      </c>
      <c r="J52" s="69" t="s">
        <v>20</v>
      </c>
      <c r="K52" s="69">
        <f>D52+E52+F52+G52+H52+I52+J52</f>
        <v>152000</v>
      </c>
    </row>
    <row r="53" spans="1:11" s="21" customFormat="1" ht="28.5" x14ac:dyDescent="0.2">
      <c r="A53" s="19" t="s">
        <v>63</v>
      </c>
      <c r="B53" s="83"/>
      <c r="C53" s="84" t="s">
        <v>66</v>
      </c>
      <c r="D53" s="70">
        <f>SUM(D50:D52)</f>
        <v>0</v>
      </c>
      <c r="E53" s="70">
        <f t="shared" ref="E53:K53" si="9">SUM(E50:E52)</f>
        <v>0</v>
      </c>
      <c r="F53" s="70">
        <f t="shared" si="9"/>
        <v>107000</v>
      </c>
      <c r="G53" s="70">
        <f t="shared" si="9"/>
        <v>160000</v>
      </c>
      <c r="H53" s="70">
        <f t="shared" si="9"/>
        <v>0</v>
      </c>
      <c r="I53" s="70">
        <f t="shared" si="9"/>
        <v>0</v>
      </c>
      <c r="J53" s="70">
        <f t="shared" si="9"/>
        <v>0</v>
      </c>
      <c r="K53" s="70">
        <f t="shared" si="9"/>
        <v>267000</v>
      </c>
    </row>
    <row r="54" spans="1:11" s="21" customFormat="1" ht="15" x14ac:dyDescent="0.2">
      <c r="A54" s="19"/>
      <c r="B54" s="86"/>
      <c r="C54" s="87"/>
      <c r="D54" s="22"/>
      <c r="E54" s="22"/>
      <c r="F54" s="22"/>
      <c r="G54" s="22"/>
      <c r="H54" s="22"/>
      <c r="I54" s="22"/>
      <c r="J54" s="22"/>
      <c r="K54" s="22"/>
    </row>
    <row r="55" spans="1:11" s="21" customFormat="1" ht="28.5" x14ac:dyDescent="0.2">
      <c r="A55" s="19"/>
      <c r="B55" s="77" t="s">
        <v>211</v>
      </c>
      <c r="C55" s="78" t="s">
        <v>212</v>
      </c>
      <c r="D55" s="20" t="s">
        <v>9</v>
      </c>
      <c r="E55" s="20" t="s">
        <v>10</v>
      </c>
      <c r="F55" s="20" t="s">
        <v>11</v>
      </c>
      <c r="G55" s="20" t="s">
        <v>12</v>
      </c>
      <c r="H55" s="20" t="s">
        <v>13</v>
      </c>
      <c r="I55" s="20" t="s">
        <v>14</v>
      </c>
      <c r="J55" s="20" t="s">
        <v>15</v>
      </c>
      <c r="K55" s="73"/>
    </row>
    <row r="56" spans="1:11" s="21" customFormat="1" x14ac:dyDescent="0.2">
      <c r="A56" s="19"/>
      <c r="B56" s="80" t="s">
        <v>21</v>
      </c>
      <c r="C56" s="81" t="s">
        <v>213</v>
      </c>
      <c r="D56" s="69" t="s">
        <v>20</v>
      </c>
      <c r="E56" s="69" t="s">
        <v>20</v>
      </c>
      <c r="F56" s="69" t="s">
        <v>20</v>
      </c>
      <c r="G56" s="69">
        <v>100000</v>
      </c>
      <c r="H56" s="69" t="s">
        <v>20</v>
      </c>
      <c r="I56" s="69" t="s">
        <v>20</v>
      </c>
      <c r="J56" s="69" t="s">
        <v>20</v>
      </c>
      <c r="K56" s="69">
        <f>D56+E56+F56+G56+H56+I56+J56</f>
        <v>100000</v>
      </c>
    </row>
    <row r="57" spans="1:11" s="21" customFormat="1" ht="28.5" x14ac:dyDescent="0.2">
      <c r="A57" s="19"/>
      <c r="B57" s="83"/>
      <c r="C57" s="84" t="s">
        <v>214</v>
      </c>
      <c r="D57" s="70">
        <f t="shared" ref="D57:J57" si="10">SUM(D55:D56)</f>
        <v>0</v>
      </c>
      <c r="E57" s="70">
        <f t="shared" si="10"/>
        <v>0</v>
      </c>
      <c r="F57" s="70">
        <f t="shared" si="10"/>
        <v>0</v>
      </c>
      <c r="G57" s="70">
        <f t="shared" si="10"/>
        <v>100000</v>
      </c>
      <c r="H57" s="70">
        <f t="shared" si="10"/>
        <v>0</v>
      </c>
      <c r="I57" s="70">
        <f t="shared" si="10"/>
        <v>0</v>
      </c>
      <c r="J57" s="70">
        <f t="shared" si="10"/>
        <v>0</v>
      </c>
      <c r="K57" s="70">
        <f>D57+E57+F57+G57+H57+I57+J57</f>
        <v>100000</v>
      </c>
    </row>
    <row r="58" spans="1:11" s="21" customFormat="1" ht="15" x14ac:dyDescent="0.2">
      <c r="A58" s="19"/>
      <c r="B58" s="86"/>
      <c r="C58" s="87"/>
      <c r="D58" s="22"/>
      <c r="E58" s="22"/>
      <c r="F58" s="22"/>
      <c r="G58" s="22"/>
      <c r="H58" s="22"/>
      <c r="I58" s="22"/>
      <c r="J58" s="22"/>
      <c r="K58" s="22"/>
    </row>
    <row r="59" spans="1:11" s="21" customFormat="1" ht="28.5" x14ac:dyDescent="0.2">
      <c r="A59" s="74"/>
      <c r="B59" s="77" t="s">
        <v>67</v>
      </c>
      <c r="C59" s="78" t="s">
        <v>68</v>
      </c>
      <c r="D59" s="20" t="s">
        <v>9</v>
      </c>
      <c r="E59" s="20" t="s">
        <v>10</v>
      </c>
      <c r="F59" s="20" t="s">
        <v>11</v>
      </c>
      <c r="G59" s="20" t="s">
        <v>12</v>
      </c>
      <c r="H59" s="20" t="s">
        <v>13</v>
      </c>
      <c r="I59" s="20" t="s">
        <v>14</v>
      </c>
      <c r="J59" s="20" t="s">
        <v>15</v>
      </c>
      <c r="K59" s="73"/>
    </row>
    <row r="60" spans="1:11" s="21" customFormat="1" ht="18" customHeight="1" x14ac:dyDescent="0.2">
      <c r="A60" s="74"/>
      <c r="B60" s="80" t="s">
        <v>17</v>
      </c>
      <c r="C60" s="81" t="s">
        <v>258</v>
      </c>
      <c r="D60" s="69" t="s">
        <v>20</v>
      </c>
      <c r="E60" s="69" t="s">
        <v>20</v>
      </c>
      <c r="F60" s="69" t="s">
        <v>20</v>
      </c>
      <c r="G60" s="69">
        <v>62000</v>
      </c>
      <c r="H60" s="69" t="s">
        <v>20</v>
      </c>
      <c r="I60" s="69" t="s">
        <v>20</v>
      </c>
      <c r="J60" s="69" t="s">
        <v>20</v>
      </c>
      <c r="K60" s="69">
        <f>D60+E60+F60+G60+H60+I60+J60</f>
        <v>62000</v>
      </c>
    </row>
    <row r="61" spans="1:11" s="21" customFormat="1" ht="42.75" x14ac:dyDescent="0.25">
      <c r="A61" s="79" t="s">
        <v>69</v>
      </c>
      <c r="B61" s="80" t="s">
        <v>21</v>
      </c>
      <c r="C61" s="81" t="s">
        <v>70</v>
      </c>
      <c r="D61" s="69" t="s">
        <v>20</v>
      </c>
      <c r="E61" s="69" t="s">
        <v>20</v>
      </c>
      <c r="F61" s="69" t="s">
        <v>20</v>
      </c>
      <c r="G61" s="69">
        <f>62000-62000</f>
        <v>0</v>
      </c>
      <c r="H61" s="69" t="s">
        <v>20</v>
      </c>
      <c r="I61" s="69" t="s">
        <v>20</v>
      </c>
      <c r="J61" s="69" t="s">
        <v>20</v>
      </c>
      <c r="K61" s="69">
        <f>D61+E61+F61+G61+H61+I61+J61</f>
        <v>0</v>
      </c>
    </row>
    <row r="62" spans="1:11" s="21" customFormat="1" ht="28.5" x14ac:dyDescent="0.2">
      <c r="A62" s="19" t="s">
        <v>69</v>
      </c>
      <c r="B62" s="83"/>
      <c r="C62" s="84" t="s">
        <v>71</v>
      </c>
      <c r="D62" s="70">
        <f>SUM(D60:D61)</f>
        <v>0</v>
      </c>
      <c r="E62" s="70">
        <f t="shared" ref="E62:K62" si="11">SUM(E60:E61)</f>
        <v>0</v>
      </c>
      <c r="F62" s="70">
        <f t="shared" si="11"/>
        <v>0</v>
      </c>
      <c r="G62" s="70">
        <f t="shared" si="11"/>
        <v>62000</v>
      </c>
      <c r="H62" s="70">
        <f t="shared" si="11"/>
        <v>0</v>
      </c>
      <c r="I62" s="70">
        <f t="shared" si="11"/>
        <v>0</v>
      </c>
      <c r="J62" s="70">
        <f t="shared" si="11"/>
        <v>0</v>
      </c>
      <c r="K62" s="70">
        <f t="shared" si="11"/>
        <v>62000</v>
      </c>
    </row>
    <row r="63" spans="1:11" s="21" customFormat="1" x14ac:dyDescent="0.2">
      <c r="C63" s="85"/>
    </row>
    <row r="64" spans="1:11" s="21" customFormat="1" x14ac:dyDescent="0.2">
      <c r="A64" s="74"/>
      <c r="B64" s="77" t="s">
        <v>72</v>
      </c>
      <c r="C64" s="78" t="s">
        <v>73</v>
      </c>
      <c r="D64" s="20" t="s">
        <v>9</v>
      </c>
      <c r="E64" s="20" t="s">
        <v>10</v>
      </c>
      <c r="F64" s="20" t="s">
        <v>11</v>
      </c>
      <c r="G64" s="20" t="s">
        <v>12</v>
      </c>
      <c r="H64" s="20" t="s">
        <v>13</v>
      </c>
      <c r="I64" s="20" t="s">
        <v>14</v>
      </c>
      <c r="J64" s="20" t="s">
        <v>15</v>
      </c>
      <c r="K64" s="73"/>
    </row>
    <row r="65" spans="1:11" s="21" customFormat="1" ht="15" x14ac:dyDescent="0.25">
      <c r="A65" s="79" t="s">
        <v>74</v>
      </c>
      <c r="B65" s="80" t="s">
        <v>17</v>
      </c>
      <c r="C65" s="81" t="s">
        <v>75</v>
      </c>
      <c r="D65" s="69" t="s">
        <v>20</v>
      </c>
      <c r="E65" s="69" t="s">
        <v>20</v>
      </c>
      <c r="F65" s="69" t="s">
        <v>20</v>
      </c>
      <c r="G65" s="69" t="s">
        <v>20</v>
      </c>
      <c r="H65" s="69" t="s">
        <v>20</v>
      </c>
      <c r="I65" s="69" t="s">
        <v>20</v>
      </c>
      <c r="J65" s="69">
        <v>80000</v>
      </c>
      <c r="K65" s="69">
        <f>D65+E65+F65+G65+H65+I65+J65</f>
        <v>80000</v>
      </c>
    </row>
    <row r="66" spans="1:11" s="21" customFormat="1" ht="15" x14ac:dyDescent="0.25">
      <c r="A66" s="82"/>
      <c r="B66" s="80" t="s">
        <v>21</v>
      </c>
      <c r="C66" s="81" t="s">
        <v>76</v>
      </c>
      <c r="D66" s="69" t="s">
        <v>20</v>
      </c>
      <c r="E66" s="69" t="s">
        <v>20</v>
      </c>
      <c r="F66" s="69" t="s">
        <v>20</v>
      </c>
      <c r="G66" s="69" t="s">
        <v>20</v>
      </c>
      <c r="H66" s="69" t="s">
        <v>20</v>
      </c>
      <c r="I66" s="69" t="s">
        <v>20</v>
      </c>
      <c r="J66" s="69">
        <v>0</v>
      </c>
      <c r="K66" s="69">
        <f>D66+E66+F66+G66+H66+I66+J66</f>
        <v>0</v>
      </c>
    </row>
    <row r="67" spans="1:11" s="21" customFormat="1" ht="15" x14ac:dyDescent="0.25">
      <c r="A67" s="82"/>
      <c r="B67" s="80" t="s">
        <v>23</v>
      </c>
      <c r="C67" s="81" t="s">
        <v>77</v>
      </c>
      <c r="D67" s="69" t="s">
        <v>20</v>
      </c>
      <c r="E67" s="69" t="s">
        <v>20</v>
      </c>
      <c r="F67" s="69" t="s">
        <v>20</v>
      </c>
      <c r="G67" s="69" t="s">
        <v>20</v>
      </c>
      <c r="H67" s="69" t="s">
        <v>20</v>
      </c>
      <c r="I67" s="69" t="s">
        <v>20</v>
      </c>
      <c r="J67" s="69">
        <f>3815174.13-650000+1868986.59</f>
        <v>5034160.72</v>
      </c>
      <c r="K67" s="69">
        <f>D67+E67+F67+G67+H67+I67+J67</f>
        <v>5034160.72</v>
      </c>
    </row>
    <row r="68" spans="1:11" s="21" customFormat="1" ht="28.5" x14ac:dyDescent="0.2">
      <c r="A68" s="19" t="s">
        <v>74</v>
      </c>
      <c r="B68" s="83"/>
      <c r="C68" s="84" t="s">
        <v>78</v>
      </c>
      <c r="D68" s="70">
        <f t="shared" ref="D68:J68" si="12">SUM(D65:D67)</f>
        <v>0</v>
      </c>
      <c r="E68" s="70">
        <f t="shared" si="12"/>
        <v>0</v>
      </c>
      <c r="F68" s="70">
        <f t="shared" si="12"/>
        <v>0</v>
      </c>
      <c r="G68" s="70">
        <f t="shared" si="12"/>
        <v>0</v>
      </c>
      <c r="H68" s="70">
        <f t="shared" si="12"/>
        <v>0</v>
      </c>
      <c r="I68" s="70">
        <f t="shared" si="12"/>
        <v>0</v>
      </c>
      <c r="J68" s="70">
        <f t="shared" si="12"/>
        <v>5114160.72</v>
      </c>
      <c r="K68" s="70">
        <f>D68+E68+F68+G68+H68+I68+J68</f>
        <v>5114160.72</v>
      </c>
    </row>
    <row r="69" spans="1:11" s="21" customFormat="1" x14ac:dyDescent="0.2">
      <c r="C69" s="85"/>
    </row>
    <row r="70" spans="1:11" s="21" customFormat="1" ht="15" x14ac:dyDescent="0.2">
      <c r="A70" s="88"/>
      <c r="B70" s="89"/>
      <c r="C70" s="90"/>
      <c r="D70" s="23"/>
      <c r="E70" s="23"/>
      <c r="F70" s="23"/>
      <c r="G70" s="23"/>
      <c r="H70" s="23"/>
      <c r="I70" s="23"/>
      <c r="J70" s="23"/>
      <c r="K70" s="23"/>
    </row>
    <row r="71" spans="1:11" s="21" customFormat="1" ht="20.25" customHeight="1" x14ac:dyDescent="0.2">
      <c r="A71" s="88"/>
      <c r="B71" s="268" t="s">
        <v>79</v>
      </c>
      <c r="C71" s="268"/>
      <c r="D71" s="71">
        <f t="shared" ref="D71:J71" si="13">D68+D62+D53+D47+D41+D37+D32+D23+D14+D28+D57+D18</f>
        <v>201830.15000000002</v>
      </c>
      <c r="E71" s="71">
        <f t="shared" si="13"/>
        <v>1181809.76</v>
      </c>
      <c r="F71" s="71">
        <f t="shared" si="13"/>
        <v>18511268.860000003</v>
      </c>
      <c r="G71" s="71">
        <f t="shared" si="13"/>
        <v>3672259.76</v>
      </c>
      <c r="H71" s="71">
        <f t="shared" si="13"/>
        <v>500</v>
      </c>
      <c r="I71" s="71">
        <f t="shared" si="13"/>
        <v>114473.62</v>
      </c>
      <c r="J71" s="71">
        <f t="shared" si="13"/>
        <v>5196116.22</v>
      </c>
      <c r="K71" s="71">
        <f>K68+K62+K53+K47+K41+K37+K32+K23+K14+K28+K57+K18</f>
        <v>28878258.370000001</v>
      </c>
    </row>
    <row r="72" spans="1:11" x14ac:dyDescent="0.2">
      <c r="K72" s="91" t="s">
        <v>88</v>
      </c>
    </row>
    <row r="73" spans="1:11" x14ac:dyDescent="0.2">
      <c r="K73" s="91" t="s">
        <v>88</v>
      </c>
    </row>
    <row r="74" spans="1:11" x14ac:dyDescent="0.2">
      <c r="K74" s="25" t="s">
        <v>88</v>
      </c>
    </row>
    <row r="76" spans="1:11" x14ac:dyDescent="0.2">
      <c r="F76" s="25" t="s">
        <v>88</v>
      </c>
    </row>
  </sheetData>
  <mergeCells count="3">
    <mergeCell ref="B2:C3"/>
    <mergeCell ref="B71:C71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7" fitToWidth="2" fitToHeight="2" orientation="landscape" r:id="rId1"/>
  <headerFooter alignWithMargins="0"/>
  <rowBreaks count="1" manualBreakCount="1">
    <brk id="4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74"/>
  <sheetViews>
    <sheetView topLeftCell="B1" zoomScale="70" zoomScaleNormal="70" zoomScaleSheetLayoutView="90" workbookViewId="0">
      <pane ySplit="3" topLeftCell="A47" activePane="bottomLeft" state="frozen"/>
      <selection sqref="A1:IV65536"/>
      <selection pane="bottomLeft" activeCell="B76" sqref="A76:IV81"/>
    </sheetView>
  </sheetViews>
  <sheetFormatPr defaultRowHeight="14.25" x14ac:dyDescent="0.2"/>
  <cols>
    <col min="1" max="1" width="5.5703125" style="25" customWidth="1"/>
    <col min="2" max="2" width="14.140625" style="25" customWidth="1"/>
    <col min="3" max="3" width="48.140625" style="24" customWidth="1"/>
    <col min="4" max="4" width="15.7109375" style="25" customWidth="1"/>
    <col min="5" max="5" width="18.85546875" style="25" customWidth="1"/>
    <col min="6" max="6" width="20.28515625" style="25" customWidth="1"/>
    <col min="7" max="7" width="19.28515625" style="25" customWidth="1"/>
    <col min="8" max="10" width="15.85546875" style="25" customWidth="1"/>
    <col min="11" max="11" width="21.140625" style="25" customWidth="1"/>
    <col min="12" max="12" width="30.28515625" style="25" customWidth="1"/>
    <col min="13" max="16384" width="9.140625" style="25"/>
  </cols>
  <sheetData>
    <row r="1" spans="1:12" s="21" customFormat="1" ht="45" customHeight="1" x14ac:dyDescent="0.2">
      <c r="A1" s="269" t="s">
        <v>235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92"/>
    </row>
    <row r="2" spans="1:12" s="21" customFormat="1" ht="60" x14ac:dyDescent="0.2">
      <c r="B2" s="267" t="s">
        <v>0</v>
      </c>
      <c r="C2" s="267"/>
      <c r="D2" s="18" t="s">
        <v>1</v>
      </c>
      <c r="E2" s="18" t="s">
        <v>2</v>
      </c>
      <c r="F2" s="18" t="s">
        <v>3</v>
      </c>
      <c r="G2" s="18" t="s">
        <v>4</v>
      </c>
      <c r="H2" s="18" t="s">
        <v>5</v>
      </c>
      <c r="I2" s="18" t="s">
        <v>6</v>
      </c>
      <c r="J2" s="18" t="s">
        <v>7</v>
      </c>
      <c r="K2" s="247" t="s">
        <v>8</v>
      </c>
    </row>
    <row r="3" spans="1:12" s="21" customFormat="1" ht="15" x14ac:dyDescent="0.2">
      <c r="B3" s="267"/>
      <c r="C3" s="267"/>
      <c r="D3" s="247" t="s">
        <v>9</v>
      </c>
      <c r="E3" s="247" t="s">
        <v>10</v>
      </c>
      <c r="F3" s="247" t="s">
        <v>11</v>
      </c>
      <c r="G3" s="247" t="s">
        <v>12</v>
      </c>
      <c r="H3" s="247" t="s">
        <v>13</v>
      </c>
      <c r="I3" s="247" t="s">
        <v>14</v>
      </c>
      <c r="J3" s="247" t="s">
        <v>15</v>
      </c>
      <c r="K3" s="247" t="s">
        <v>16</v>
      </c>
    </row>
    <row r="4" spans="1:12" s="21" customFormat="1" x14ac:dyDescent="0.2">
      <c r="A4" s="74"/>
      <c r="B4" s="75"/>
      <c r="C4" s="76"/>
      <c r="D4" s="19" t="s">
        <v>1</v>
      </c>
      <c r="E4" s="19" t="s">
        <v>2</v>
      </c>
      <c r="F4" s="19" t="s">
        <v>3</v>
      </c>
      <c r="G4" s="19" t="s">
        <v>4</v>
      </c>
      <c r="H4" s="19" t="s">
        <v>5</v>
      </c>
      <c r="I4" s="19" t="s">
        <v>6</v>
      </c>
      <c r="J4" s="19" t="s">
        <v>7</v>
      </c>
      <c r="K4" s="72"/>
    </row>
    <row r="5" spans="1:12" s="21" customFormat="1" ht="28.5" x14ac:dyDescent="0.2">
      <c r="A5" s="74"/>
      <c r="B5" s="77" t="s">
        <v>17</v>
      </c>
      <c r="C5" s="78" t="s">
        <v>18</v>
      </c>
      <c r="D5" s="20" t="s">
        <v>9</v>
      </c>
      <c r="E5" s="20" t="s">
        <v>10</v>
      </c>
      <c r="F5" s="20" t="s">
        <v>11</v>
      </c>
      <c r="G5" s="20" t="s">
        <v>12</v>
      </c>
      <c r="H5" s="20" t="s">
        <v>13</v>
      </c>
      <c r="I5" s="20" t="s">
        <v>14</v>
      </c>
      <c r="J5" s="175" t="s">
        <v>15</v>
      </c>
      <c r="K5" s="178"/>
    </row>
    <row r="6" spans="1:12" s="21" customFormat="1" ht="15" x14ac:dyDescent="0.25">
      <c r="A6" s="79" t="s">
        <v>16</v>
      </c>
      <c r="B6" s="80" t="s">
        <v>17</v>
      </c>
      <c r="C6" s="81" t="s">
        <v>19</v>
      </c>
      <c r="D6" s="69" t="s">
        <v>20</v>
      </c>
      <c r="E6" s="69">
        <v>936551</v>
      </c>
      <c r="F6" s="69">
        <f>13343834.96-65000+30000</f>
        <v>13308834.960000001</v>
      </c>
      <c r="G6" s="69">
        <f>1850105-30000</f>
        <v>1820105</v>
      </c>
      <c r="H6" s="69" t="s">
        <v>20</v>
      </c>
      <c r="I6" s="69" t="s">
        <v>20</v>
      </c>
      <c r="J6" s="176">
        <v>2000</v>
      </c>
      <c r="K6" s="179">
        <f>D6+E6+F6+G6+H6+I6+J6</f>
        <v>16067490.960000001</v>
      </c>
    </row>
    <row r="7" spans="1:12" s="21" customFormat="1" ht="15" x14ac:dyDescent="0.25">
      <c r="A7" s="82"/>
      <c r="B7" s="80" t="s">
        <v>21</v>
      </c>
      <c r="C7" s="81" t="s">
        <v>22</v>
      </c>
      <c r="D7" s="69" t="s">
        <v>20</v>
      </c>
      <c r="E7" s="69" t="s">
        <v>20</v>
      </c>
      <c r="F7" s="69">
        <v>33060</v>
      </c>
      <c r="G7" s="69" t="s">
        <v>20</v>
      </c>
      <c r="H7" s="69" t="s">
        <v>20</v>
      </c>
      <c r="I7" s="69" t="s">
        <v>20</v>
      </c>
      <c r="J7" s="176" t="s">
        <v>20</v>
      </c>
      <c r="K7" s="179">
        <f t="shared" ref="K7:K13" si="0">D7+E7+F7+G7+H7+I7+J7</f>
        <v>33060</v>
      </c>
    </row>
    <row r="8" spans="1:12" s="21" customFormat="1" ht="28.5" x14ac:dyDescent="0.25">
      <c r="A8" s="82"/>
      <c r="B8" s="80" t="s">
        <v>23</v>
      </c>
      <c r="C8" s="81" t="s">
        <v>24</v>
      </c>
      <c r="D8" s="69">
        <f>261610.5-2500</f>
        <v>259110.5</v>
      </c>
      <c r="E8" s="69">
        <v>10200</v>
      </c>
      <c r="F8" s="69">
        <f>2618503.16+2500</f>
        <v>2621003.16</v>
      </c>
      <c r="G8" s="69" t="s">
        <v>20</v>
      </c>
      <c r="H8" s="69" t="s">
        <v>20</v>
      </c>
      <c r="I8" s="69">
        <v>6000</v>
      </c>
      <c r="J8" s="176">
        <v>71955.5</v>
      </c>
      <c r="K8" s="179">
        <f t="shared" si="0"/>
        <v>2968269.16</v>
      </c>
    </row>
    <row r="9" spans="1:12" s="21" customFormat="1" ht="15" x14ac:dyDescent="0.25">
      <c r="A9" s="82"/>
      <c r="B9" s="80" t="s">
        <v>25</v>
      </c>
      <c r="C9" s="81" t="s">
        <v>26</v>
      </c>
      <c r="D9" s="69" t="s">
        <v>20</v>
      </c>
      <c r="E9" s="69">
        <v>235000</v>
      </c>
      <c r="F9" s="69">
        <v>4500</v>
      </c>
      <c r="G9" s="69" t="s">
        <v>20</v>
      </c>
      <c r="H9" s="69" t="s">
        <v>20</v>
      </c>
      <c r="I9" s="69" t="s">
        <v>20</v>
      </c>
      <c r="J9" s="176">
        <v>6000</v>
      </c>
      <c r="K9" s="179">
        <f t="shared" si="0"/>
        <v>245500</v>
      </c>
    </row>
    <row r="10" spans="1:12" s="21" customFormat="1" ht="15" x14ac:dyDescent="0.25">
      <c r="A10" s="82"/>
      <c r="B10" s="80" t="s">
        <v>27</v>
      </c>
      <c r="C10" s="81" t="s">
        <v>28</v>
      </c>
      <c r="D10" s="69" t="s">
        <v>20</v>
      </c>
      <c r="E10" s="69" t="s">
        <v>20</v>
      </c>
      <c r="F10" s="69">
        <v>327650</v>
      </c>
      <c r="G10" s="69" t="s">
        <v>20</v>
      </c>
      <c r="H10" s="69" t="s">
        <v>20</v>
      </c>
      <c r="I10" s="69" t="s">
        <v>20</v>
      </c>
      <c r="J10" s="176">
        <v>0</v>
      </c>
      <c r="K10" s="179">
        <f t="shared" si="0"/>
        <v>327650</v>
      </c>
    </row>
    <row r="11" spans="1:12" s="21" customFormat="1" ht="15" x14ac:dyDescent="0.25">
      <c r="A11" s="82"/>
      <c r="B11" s="80" t="s">
        <v>29</v>
      </c>
      <c r="C11" s="81" t="s">
        <v>30</v>
      </c>
      <c r="D11" s="69" t="s">
        <v>20</v>
      </c>
      <c r="E11" s="69" t="s">
        <v>20</v>
      </c>
      <c r="F11" s="69">
        <v>1159744.2</v>
      </c>
      <c r="G11" s="69" t="s">
        <v>20</v>
      </c>
      <c r="H11" s="69" t="s">
        <v>20</v>
      </c>
      <c r="I11" s="69" t="s">
        <v>20</v>
      </c>
      <c r="J11" s="176">
        <v>0</v>
      </c>
      <c r="K11" s="179">
        <f t="shared" si="0"/>
        <v>1159744.2</v>
      </c>
    </row>
    <row r="12" spans="1:12" s="21" customFormat="1" ht="15" x14ac:dyDescent="0.25">
      <c r="A12" s="82"/>
      <c r="B12" s="80" t="s">
        <v>31</v>
      </c>
      <c r="C12" s="81" t="s">
        <v>32</v>
      </c>
      <c r="D12" s="69">
        <v>380</v>
      </c>
      <c r="E12" s="69">
        <v>4146</v>
      </c>
      <c r="F12" s="69">
        <f>70800+7200</f>
        <v>78000</v>
      </c>
      <c r="G12" s="69" t="s">
        <v>20</v>
      </c>
      <c r="H12" s="69" t="s">
        <v>20</v>
      </c>
      <c r="I12" s="69">
        <f>80676.07-7200</f>
        <v>73476.070000000007</v>
      </c>
      <c r="J12" s="176" t="s">
        <v>20</v>
      </c>
      <c r="K12" s="179">
        <f t="shared" si="0"/>
        <v>156002.07</v>
      </c>
    </row>
    <row r="13" spans="1:12" s="21" customFormat="1" ht="15" x14ac:dyDescent="0.25">
      <c r="A13" s="82"/>
      <c r="B13" s="80" t="s">
        <v>33</v>
      </c>
      <c r="C13" s="81" t="s">
        <v>34</v>
      </c>
      <c r="D13" s="69" t="s">
        <v>20</v>
      </c>
      <c r="E13" s="69">
        <v>0</v>
      </c>
      <c r="F13" s="69">
        <v>5000</v>
      </c>
      <c r="G13" s="69">
        <v>11040</v>
      </c>
      <c r="H13" s="69">
        <v>500</v>
      </c>
      <c r="I13" s="69" t="s">
        <v>20</v>
      </c>
      <c r="J13" s="176">
        <v>2000</v>
      </c>
      <c r="K13" s="179">
        <f t="shared" si="0"/>
        <v>18540</v>
      </c>
    </row>
    <row r="14" spans="1:12" s="21" customFormat="1" ht="28.5" x14ac:dyDescent="0.2">
      <c r="A14" s="19" t="s">
        <v>16</v>
      </c>
      <c r="B14" s="83"/>
      <c r="C14" s="84" t="s">
        <v>35</v>
      </c>
      <c r="D14" s="70">
        <f>SUM(D6:D13)</f>
        <v>259490.5</v>
      </c>
      <c r="E14" s="70">
        <f t="shared" ref="E14:J14" si="1">SUM(E6:E13)</f>
        <v>1185897</v>
      </c>
      <c r="F14" s="70">
        <f>SUM(F6:F13)</f>
        <v>17537792.32</v>
      </c>
      <c r="G14" s="70">
        <f t="shared" si="1"/>
        <v>1831145</v>
      </c>
      <c r="H14" s="70">
        <f t="shared" si="1"/>
        <v>500</v>
      </c>
      <c r="I14" s="70">
        <f t="shared" si="1"/>
        <v>79476.070000000007</v>
      </c>
      <c r="J14" s="177">
        <f t="shared" si="1"/>
        <v>81955.5</v>
      </c>
      <c r="K14" s="240">
        <f>D14+E14+F14+G14+H14+I14+J14</f>
        <v>20976256.390000001</v>
      </c>
    </row>
    <row r="15" spans="1:12" s="21" customFormat="1" x14ac:dyDescent="0.2">
      <c r="C15" s="85"/>
    </row>
    <row r="16" spans="1:12" s="21" customFormat="1" x14ac:dyDescent="0.2">
      <c r="B16" s="77" t="s">
        <v>242</v>
      </c>
      <c r="C16" s="78" t="s">
        <v>243</v>
      </c>
      <c r="D16" s="251" t="s">
        <v>9</v>
      </c>
      <c r="E16" s="20" t="s">
        <v>10</v>
      </c>
      <c r="F16" s="20" t="s">
        <v>11</v>
      </c>
      <c r="G16" s="20" t="s">
        <v>12</v>
      </c>
      <c r="H16" s="20" t="s">
        <v>13</v>
      </c>
      <c r="I16" s="20" t="s">
        <v>14</v>
      </c>
      <c r="J16" s="20" t="s">
        <v>15</v>
      </c>
      <c r="K16" s="73"/>
    </row>
    <row r="17" spans="1:11" s="21" customFormat="1" x14ac:dyDescent="0.2">
      <c r="B17" s="80" t="s">
        <v>41</v>
      </c>
      <c r="C17" s="81" t="s">
        <v>245</v>
      </c>
      <c r="D17" s="69" t="s">
        <v>20</v>
      </c>
      <c r="E17" s="69" t="s">
        <v>20</v>
      </c>
      <c r="F17" s="69" t="s">
        <v>20</v>
      </c>
      <c r="G17" s="69">
        <v>100000</v>
      </c>
      <c r="H17" s="69" t="s">
        <v>20</v>
      </c>
      <c r="I17" s="69" t="s">
        <v>20</v>
      </c>
      <c r="J17" s="69">
        <v>0</v>
      </c>
      <c r="K17" s="69">
        <f>D17+E17+F17+G17+H17+I17+J17</f>
        <v>100000</v>
      </c>
    </row>
    <row r="18" spans="1:11" s="21" customFormat="1" ht="28.5" x14ac:dyDescent="0.2">
      <c r="B18" s="83"/>
      <c r="C18" s="84" t="s">
        <v>244</v>
      </c>
      <c r="D18" s="70">
        <f t="shared" ref="D18:J18" si="2">SUM(D17:D17)</f>
        <v>0</v>
      </c>
      <c r="E18" s="70">
        <f t="shared" si="2"/>
        <v>0</v>
      </c>
      <c r="F18" s="70">
        <f t="shared" si="2"/>
        <v>0</v>
      </c>
      <c r="G18" s="70">
        <f t="shared" si="2"/>
        <v>100000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>D18+E18+F18+G18+H18+I18+J18</f>
        <v>100000</v>
      </c>
    </row>
    <row r="19" spans="1:11" s="21" customFormat="1" x14ac:dyDescent="0.2">
      <c r="A19" s="74"/>
      <c r="B19" s="75"/>
      <c r="C19" s="76"/>
      <c r="D19" s="19" t="s">
        <v>1</v>
      </c>
      <c r="E19" s="19" t="s">
        <v>2</v>
      </c>
      <c r="F19" s="19" t="s">
        <v>3</v>
      </c>
      <c r="G19" s="19" t="s">
        <v>4</v>
      </c>
      <c r="H19" s="19" t="s">
        <v>5</v>
      </c>
      <c r="I19" s="19" t="s">
        <v>6</v>
      </c>
      <c r="J19" s="19" t="s">
        <v>7</v>
      </c>
      <c r="K19" s="72"/>
    </row>
    <row r="20" spans="1:11" s="21" customFormat="1" ht="28.5" x14ac:dyDescent="0.2">
      <c r="A20" s="74"/>
      <c r="B20" s="77" t="s">
        <v>25</v>
      </c>
      <c r="C20" s="78" t="s">
        <v>36</v>
      </c>
      <c r="D20" s="20" t="s">
        <v>9</v>
      </c>
      <c r="E20" s="20" t="s">
        <v>10</v>
      </c>
      <c r="F20" s="20" t="s">
        <v>11</v>
      </c>
      <c r="G20" s="20" t="s">
        <v>12</v>
      </c>
      <c r="H20" s="20" t="s">
        <v>13</v>
      </c>
      <c r="I20" s="20" t="s">
        <v>14</v>
      </c>
      <c r="J20" s="20" t="s">
        <v>15</v>
      </c>
      <c r="K20" s="73"/>
    </row>
    <row r="21" spans="1:11" s="21" customFormat="1" ht="15" x14ac:dyDescent="0.25">
      <c r="A21" s="79" t="s">
        <v>37</v>
      </c>
      <c r="B21" s="80" t="s">
        <v>17</v>
      </c>
      <c r="C21" s="81" t="s">
        <v>38</v>
      </c>
      <c r="D21" s="69" t="s">
        <v>20</v>
      </c>
      <c r="E21" s="69" t="s">
        <v>20</v>
      </c>
      <c r="F21" s="69" t="s">
        <v>20</v>
      </c>
      <c r="G21" s="69" t="s">
        <v>20</v>
      </c>
      <c r="H21" s="69" t="s">
        <v>20</v>
      </c>
      <c r="I21" s="69" t="s">
        <v>20</v>
      </c>
      <c r="J21" s="69">
        <v>0</v>
      </c>
      <c r="K21" s="69">
        <f>D21+E21+F21+G21+H21+I21+J21</f>
        <v>0</v>
      </c>
    </row>
    <row r="22" spans="1:11" s="21" customFormat="1" ht="28.5" x14ac:dyDescent="0.25">
      <c r="A22" s="82"/>
      <c r="B22" s="80" t="s">
        <v>21</v>
      </c>
      <c r="C22" s="81" t="s">
        <v>39</v>
      </c>
      <c r="D22" s="69" t="s">
        <v>20</v>
      </c>
      <c r="E22" s="69" t="s">
        <v>20</v>
      </c>
      <c r="F22" s="69">
        <v>752651.34</v>
      </c>
      <c r="G22" s="69">
        <f>608500+4000</f>
        <v>612500</v>
      </c>
      <c r="H22" s="69" t="s">
        <v>20</v>
      </c>
      <c r="I22" s="69" t="s">
        <v>20</v>
      </c>
      <c r="J22" s="69">
        <v>0</v>
      </c>
      <c r="K22" s="69">
        <f>D22+E22+F22+G22+H22+I22+J22</f>
        <v>1365151.3399999999</v>
      </c>
    </row>
    <row r="23" spans="1:11" s="21" customFormat="1" ht="28.5" x14ac:dyDescent="0.2">
      <c r="A23" s="19" t="s">
        <v>37</v>
      </c>
      <c r="B23" s="83"/>
      <c r="C23" s="84" t="s">
        <v>40</v>
      </c>
      <c r="D23" s="70">
        <f>SUM(D21:D22)</f>
        <v>0</v>
      </c>
      <c r="E23" s="70">
        <f t="shared" ref="E23:J23" si="3">SUM(E21:E22)</f>
        <v>0</v>
      </c>
      <c r="F23" s="70">
        <f t="shared" si="3"/>
        <v>752651.34</v>
      </c>
      <c r="G23" s="70">
        <f t="shared" si="3"/>
        <v>612500</v>
      </c>
      <c r="H23" s="70">
        <f t="shared" si="3"/>
        <v>0</v>
      </c>
      <c r="I23" s="70">
        <f t="shared" si="3"/>
        <v>0</v>
      </c>
      <c r="J23" s="70">
        <f t="shared" si="3"/>
        <v>0</v>
      </c>
      <c r="K23" s="70">
        <f>D23+E23+F23+G23+H23+I23+J23</f>
        <v>1365151.3399999999</v>
      </c>
    </row>
    <row r="24" spans="1:11" s="21" customFormat="1" ht="15" x14ac:dyDescent="0.2">
      <c r="A24" s="19"/>
      <c r="B24" s="86"/>
      <c r="C24" s="87"/>
      <c r="D24" s="22"/>
      <c r="E24" s="22"/>
      <c r="F24" s="22"/>
      <c r="G24" s="22"/>
      <c r="H24" s="22"/>
      <c r="I24" s="22"/>
      <c r="J24" s="22"/>
      <c r="K24" s="22"/>
    </row>
    <row r="25" spans="1:11" s="21" customFormat="1" ht="28.5" x14ac:dyDescent="0.2">
      <c r="A25" s="74"/>
      <c r="B25" s="77" t="s">
        <v>27</v>
      </c>
      <c r="C25" s="78" t="s">
        <v>209</v>
      </c>
      <c r="D25" s="20" t="s">
        <v>9</v>
      </c>
      <c r="E25" s="20" t="s">
        <v>10</v>
      </c>
      <c r="F25" s="20" t="s">
        <v>11</v>
      </c>
      <c r="G25" s="20" t="s">
        <v>12</v>
      </c>
      <c r="H25" s="20" t="s">
        <v>13</v>
      </c>
      <c r="I25" s="20" t="s">
        <v>14</v>
      </c>
      <c r="J25" s="20" t="s">
        <v>15</v>
      </c>
      <c r="K25" s="73"/>
    </row>
    <row r="26" spans="1:11" s="21" customFormat="1" ht="28.5" customHeight="1" x14ac:dyDescent="0.25">
      <c r="A26" s="79" t="s">
        <v>37</v>
      </c>
      <c r="B26" s="80" t="s">
        <v>17</v>
      </c>
      <c r="C26" s="81" t="s">
        <v>208</v>
      </c>
      <c r="D26" s="69" t="s">
        <v>20</v>
      </c>
      <c r="E26" s="69" t="s">
        <v>20</v>
      </c>
      <c r="F26" s="69" t="s">
        <v>20</v>
      </c>
      <c r="G26" s="69" t="s">
        <v>20</v>
      </c>
      <c r="H26" s="69" t="s">
        <v>20</v>
      </c>
      <c r="I26" s="69" t="s">
        <v>20</v>
      </c>
      <c r="J26" s="69">
        <v>0</v>
      </c>
      <c r="K26" s="69">
        <f>D26+E26+F26+G26+H26+I26+J26</f>
        <v>0</v>
      </c>
    </row>
    <row r="27" spans="1:11" s="21" customFormat="1" ht="28.5" x14ac:dyDescent="0.2">
      <c r="A27" s="19" t="s">
        <v>37</v>
      </c>
      <c r="B27" s="83"/>
      <c r="C27" s="84" t="s">
        <v>210</v>
      </c>
      <c r="D27" s="70">
        <f>SUM(D26)</f>
        <v>0</v>
      </c>
      <c r="E27" s="70">
        <f t="shared" ref="E27:K27" si="4">SUM(E26)</f>
        <v>0</v>
      </c>
      <c r="F27" s="70">
        <f t="shared" si="4"/>
        <v>0</v>
      </c>
      <c r="G27" s="70">
        <f t="shared" si="4"/>
        <v>0</v>
      </c>
      <c r="H27" s="70">
        <f t="shared" si="4"/>
        <v>0</v>
      </c>
      <c r="I27" s="70">
        <f t="shared" si="4"/>
        <v>0</v>
      </c>
      <c r="J27" s="70">
        <f t="shared" si="4"/>
        <v>0</v>
      </c>
      <c r="K27" s="70">
        <f t="shared" si="4"/>
        <v>0</v>
      </c>
    </row>
    <row r="28" spans="1:11" s="21" customFormat="1" ht="15" x14ac:dyDescent="0.2">
      <c r="A28" s="19"/>
      <c r="B28" s="86"/>
      <c r="C28" s="87"/>
      <c r="D28" s="22"/>
      <c r="E28" s="22"/>
      <c r="F28" s="22"/>
      <c r="G28" s="22"/>
      <c r="H28" s="22"/>
      <c r="I28" s="22"/>
      <c r="J28" s="22"/>
      <c r="K28" s="22"/>
    </row>
    <row r="29" spans="1:11" s="21" customFormat="1" x14ac:dyDescent="0.2">
      <c r="A29" s="74"/>
      <c r="B29" s="77" t="s">
        <v>41</v>
      </c>
      <c r="C29" s="78" t="s">
        <v>42</v>
      </c>
      <c r="D29" s="20" t="s">
        <v>9</v>
      </c>
      <c r="E29" s="20" t="s">
        <v>10</v>
      </c>
      <c r="F29" s="20" t="s">
        <v>11</v>
      </c>
      <c r="G29" s="20" t="s">
        <v>12</v>
      </c>
      <c r="H29" s="20" t="s">
        <v>13</v>
      </c>
      <c r="I29" s="20" t="s">
        <v>14</v>
      </c>
      <c r="J29" s="20" t="s">
        <v>15</v>
      </c>
      <c r="K29" s="73"/>
    </row>
    <row r="30" spans="1:11" s="21" customFormat="1" ht="15" x14ac:dyDescent="0.25">
      <c r="A30" s="79" t="s">
        <v>43</v>
      </c>
      <c r="B30" s="80" t="s">
        <v>17</v>
      </c>
      <c r="C30" s="81" t="s">
        <v>44</v>
      </c>
      <c r="D30" s="69" t="s">
        <v>20</v>
      </c>
      <c r="E30" s="69" t="s">
        <v>20</v>
      </c>
      <c r="F30" s="69" t="s">
        <v>20</v>
      </c>
      <c r="G30" s="69">
        <v>0</v>
      </c>
      <c r="H30" s="69" t="s">
        <v>20</v>
      </c>
      <c r="I30" s="69" t="s">
        <v>20</v>
      </c>
      <c r="J30" s="69" t="s">
        <v>20</v>
      </c>
      <c r="K30" s="69">
        <f>D30+E30+F30+G30+H30+I30+J30</f>
        <v>0</v>
      </c>
    </row>
    <row r="31" spans="1:11" s="21" customFormat="1" ht="15" x14ac:dyDescent="0.2">
      <c r="A31" s="19" t="s">
        <v>43</v>
      </c>
      <c r="B31" s="83"/>
      <c r="C31" s="84" t="s">
        <v>45</v>
      </c>
      <c r="D31" s="70">
        <f>SUM(D30)</f>
        <v>0</v>
      </c>
      <c r="E31" s="70">
        <f t="shared" ref="E31:J31" si="5">SUM(E30)</f>
        <v>0</v>
      </c>
      <c r="F31" s="70">
        <f t="shared" si="5"/>
        <v>0</v>
      </c>
      <c r="G31" s="70">
        <f t="shared" si="5"/>
        <v>0</v>
      </c>
      <c r="H31" s="70">
        <f t="shared" si="5"/>
        <v>0</v>
      </c>
      <c r="I31" s="70">
        <f t="shared" si="5"/>
        <v>0</v>
      </c>
      <c r="J31" s="70">
        <f t="shared" si="5"/>
        <v>0</v>
      </c>
      <c r="K31" s="70">
        <f>D31+E31+F31+G31+H31+I31+J31</f>
        <v>0</v>
      </c>
    </row>
    <row r="32" spans="1:11" s="21" customFormat="1" x14ac:dyDescent="0.2">
      <c r="C32" s="85"/>
    </row>
    <row r="33" spans="1:11" s="21" customFormat="1" x14ac:dyDescent="0.2">
      <c r="A33" s="74"/>
      <c r="B33" s="75"/>
      <c r="C33" s="76"/>
      <c r="D33" s="19" t="s">
        <v>1</v>
      </c>
      <c r="E33" s="19" t="s">
        <v>2</v>
      </c>
      <c r="F33" s="19" t="s">
        <v>3</v>
      </c>
      <c r="G33" s="19" t="s">
        <v>4</v>
      </c>
      <c r="H33" s="19" t="s">
        <v>5</v>
      </c>
      <c r="I33" s="19" t="s">
        <v>6</v>
      </c>
      <c r="J33" s="19" t="s">
        <v>7</v>
      </c>
      <c r="K33" s="72"/>
    </row>
    <row r="34" spans="1:11" s="21" customFormat="1" ht="28.5" x14ac:dyDescent="0.2">
      <c r="A34" s="74"/>
      <c r="B34" s="77" t="s">
        <v>46</v>
      </c>
      <c r="C34" s="78" t="s">
        <v>47</v>
      </c>
      <c r="D34" s="20" t="s">
        <v>9</v>
      </c>
      <c r="E34" s="20" t="s">
        <v>10</v>
      </c>
      <c r="F34" s="20" t="s">
        <v>11</v>
      </c>
      <c r="G34" s="20" t="s">
        <v>12</v>
      </c>
      <c r="H34" s="20" t="s">
        <v>13</v>
      </c>
      <c r="I34" s="20" t="s">
        <v>14</v>
      </c>
      <c r="J34" s="20" t="s">
        <v>15</v>
      </c>
      <c r="K34" s="73"/>
    </row>
    <row r="35" spans="1:11" s="21" customFormat="1" ht="15" x14ac:dyDescent="0.25">
      <c r="A35" s="79" t="s">
        <v>48</v>
      </c>
      <c r="B35" s="80" t="s">
        <v>21</v>
      </c>
      <c r="C35" s="81" t="s">
        <v>49</v>
      </c>
      <c r="D35" s="69" t="s">
        <v>20</v>
      </c>
      <c r="E35" s="69" t="s">
        <v>20</v>
      </c>
      <c r="F35" s="69" t="s">
        <v>20</v>
      </c>
      <c r="G35" s="69">
        <v>0</v>
      </c>
      <c r="H35" s="69" t="s">
        <v>20</v>
      </c>
      <c r="I35" s="69" t="s">
        <v>20</v>
      </c>
      <c r="J35" s="69" t="s">
        <v>20</v>
      </c>
      <c r="K35" s="69">
        <f>D35+E35+F35+G35+H35+I35+J35</f>
        <v>0</v>
      </c>
    </row>
    <row r="36" spans="1:11" s="21" customFormat="1" ht="15" x14ac:dyDescent="0.25">
      <c r="A36" s="82"/>
      <c r="B36" s="80" t="s">
        <v>23</v>
      </c>
      <c r="C36" s="81" t="s">
        <v>50</v>
      </c>
      <c r="D36" s="69" t="s">
        <v>20</v>
      </c>
      <c r="E36" s="69" t="s">
        <v>20</v>
      </c>
      <c r="F36" s="69">
        <v>13400</v>
      </c>
      <c r="G36" s="69">
        <v>0</v>
      </c>
      <c r="H36" s="69" t="s">
        <v>20</v>
      </c>
      <c r="I36" s="69" t="s">
        <v>20</v>
      </c>
      <c r="J36" s="69" t="s">
        <v>20</v>
      </c>
      <c r="K36" s="69">
        <f>D36+E36+F36+G36+H36+I36+J36</f>
        <v>13400</v>
      </c>
    </row>
    <row r="37" spans="1:11" s="21" customFormat="1" ht="41.25" customHeight="1" x14ac:dyDescent="0.2">
      <c r="A37" s="19" t="s">
        <v>48</v>
      </c>
      <c r="B37" s="83"/>
      <c r="C37" s="84" t="s">
        <v>51</v>
      </c>
      <c r="D37" s="70">
        <f>SUM(D35:D36)</f>
        <v>0</v>
      </c>
      <c r="E37" s="70">
        <f t="shared" ref="E37:J37" si="6">SUM(E35:E36)</f>
        <v>0</v>
      </c>
      <c r="F37" s="70">
        <f t="shared" si="6"/>
        <v>13400</v>
      </c>
      <c r="G37" s="70">
        <f t="shared" si="6"/>
        <v>0</v>
      </c>
      <c r="H37" s="70">
        <f t="shared" si="6"/>
        <v>0</v>
      </c>
      <c r="I37" s="70">
        <f t="shared" si="6"/>
        <v>0</v>
      </c>
      <c r="J37" s="70">
        <f t="shared" si="6"/>
        <v>0</v>
      </c>
      <c r="K37" s="70">
        <f>D37+E37+F37+G37+H37+I37+J37</f>
        <v>13400</v>
      </c>
    </row>
    <row r="38" spans="1:11" s="21" customFormat="1" x14ac:dyDescent="0.2">
      <c r="C38" s="85"/>
    </row>
    <row r="39" spans="1:11" s="21" customFormat="1" x14ac:dyDescent="0.2">
      <c r="A39" s="74"/>
      <c r="B39" s="75"/>
      <c r="C39" s="76"/>
      <c r="D39" s="19" t="s">
        <v>1</v>
      </c>
      <c r="E39" s="19" t="s">
        <v>2</v>
      </c>
      <c r="F39" s="19" t="s">
        <v>3</v>
      </c>
      <c r="G39" s="19" t="s">
        <v>4</v>
      </c>
      <c r="H39" s="19" t="s">
        <v>5</v>
      </c>
      <c r="I39" s="19" t="s">
        <v>6</v>
      </c>
      <c r="J39" s="19" t="s">
        <v>7</v>
      </c>
      <c r="K39" s="72"/>
    </row>
    <row r="40" spans="1:11" s="21" customFormat="1" x14ac:dyDescent="0.2">
      <c r="A40" s="74"/>
      <c r="B40" s="77" t="s">
        <v>33</v>
      </c>
      <c r="C40" s="78" t="s">
        <v>52</v>
      </c>
      <c r="D40" s="20" t="s">
        <v>9</v>
      </c>
      <c r="E40" s="20" t="s">
        <v>10</v>
      </c>
      <c r="F40" s="20" t="s">
        <v>11</v>
      </c>
      <c r="G40" s="20" t="s">
        <v>12</v>
      </c>
      <c r="H40" s="20" t="s">
        <v>13</v>
      </c>
      <c r="I40" s="20" t="s">
        <v>14</v>
      </c>
      <c r="J40" s="20" t="s">
        <v>15</v>
      </c>
      <c r="K40" s="73"/>
    </row>
    <row r="41" spans="1:11" s="21" customFormat="1" ht="15" x14ac:dyDescent="0.25">
      <c r="A41" s="79" t="s">
        <v>53</v>
      </c>
      <c r="B41" s="80" t="s">
        <v>21</v>
      </c>
      <c r="C41" s="81" t="s">
        <v>54</v>
      </c>
      <c r="D41" s="69" t="s">
        <v>20</v>
      </c>
      <c r="E41" s="69" t="s">
        <v>20</v>
      </c>
      <c r="F41" s="69" t="s">
        <v>20</v>
      </c>
      <c r="G41" s="69">
        <v>0</v>
      </c>
      <c r="H41" s="69" t="s">
        <v>20</v>
      </c>
      <c r="I41" s="69" t="s">
        <v>20</v>
      </c>
      <c r="J41" s="69" t="s">
        <v>20</v>
      </c>
      <c r="K41" s="69">
        <f>D41+E41+F41+G41+H41+I41+J41</f>
        <v>0</v>
      </c>
    </row>
    <row r="42" spans="1:11" s="21" customFormat="1" ht="15" x14ac:dyDescent="0.2">
      <c r="A42" s="19" t="s">
        <v>53</v>
      </c>
      <c r="B42" s="83"/>
      <c r="C42" s="84" t="s">
        <v>55</v>
      </c>
      <c r="D42" s="70">
        <f>SUM(D41)</f>
        <v>0</v>
      </c>
      <c r="E42" s="70">
        <f t="shared" ref="E42:J42" si="7">SUM(E41)</f>
        <v>0</v>
      </c>
      <c r="F42" s="70">
        <f t="shared" si="7"/>
        <v>0</v>
      </c>
      <c r="G42" s="70">
        <f t="shared" si="7"/>
        <v>0</v>
      </c>
      <c r="H42" s="70">
        <f t="shared" si="7"/>
        <v>0</v>
      </c>
      <c r="I42" s="70">
        <f t="shared" si="7"/>
        <v>0</v>
      </c>
      <c r="J42" s="70">
        <f t="shared" si="7"/>
        <v>0</v>
      </c>
      <c r="K42" s="70">
        <f>D42+E42+F42+G42+H42+I42+J42</f>
        <v>0</v>
      </c>
    </row>
    <row r="43" spans="1:11" s="21" customFormat="1" x14ac:dyDescent="0.2">
      <c r="C43" s="85"/>
    </row>
    <row r="44" spans="1:11" s="21" customFormat="1" x14ac:dyDescent="0.2">
      <c r="A44" s="74"/>
      <c r="B44" s="75"/>
      <c r="C44" s="76"/>
      <c r="D44" s="19" t="s">
        <v>1</v>
      </c>
      <c r="E44" s="19" t="s">
        <v>2</v>
      </c>
      <c r="F44" s="19" t="s">
        <v>3</v>
      </c>
      <c r="G44" s="19" t="s">
        <v>4</v>
      </c>
      <c r="H44" s="19" t="s">
        <v>5</v>
      </c>
      <c r="I44" s="19" t="s">
        <v>6</v>
      </c>
      <c r="J44" s="19" t="s">
        <v>7</v>
      </c>
      <c r="K44" s="72"/>
    </row>
    <row r="45" spans="1:11" s="21" customFormat="1" ht="28.5" x14ac:dyDescent="0.2">
      <c r="A45" s="74"/>
      <c r="B45" s="77" t="s">
        <v>56</v>
      </c>
      <c r="C45" s="78" t="s">
        <v>57</v>
      </c>
      <c r="D45" s="20" t="s">
        <v>9</v>
      </c>
      <c r="E45" s="20" t="s">
        <v>10</v>
      </c>
      <c r="F45" s="20" t="s">
        <v>11</v>
      </c>
      <c r="G45" s="20" t="s">
        <v>12</v>
      </c>
      <c r="H45" s="20" t="s">
        <v>13</v>
      </c>
      <c r="I45" s="20" t="s">
        <v>14</v>
      </c>
      <c r="J45" s="20" t="s">
        <v>15</v>
      </c>
      <c r="K45" s="73"/>
    </row>
    <row r="46" spans="1:11" s="21" customFormat="1" ht="28.5" x14ac:dyDescent="0.2">
      <c r="A46" s="74"/>
      <c r="B46" s="80" t="s">
        <v>41</v>
      </c>
      <c r="C46" s="81" t="s">
        <v>257</v>
      </c>
      <c r="D46" s="69" t="s">
        <v>20</v>
      </c>
      <c r="E46" s="69" t="s">
        <v>20</v>
      </c>
      <c r="F46" s="69" t="s">
        <v>20</v>
      </c>
      <c r="G46" s="69">
        <v>11100</v>
      </c>
      <c r="H46" s="69" t="s">
        <v>20</v>
      </c>
      <c r="I46" s="69" t="s">
        <v>20</v>
      </c>
      <c r="J46" s="69" t="s">
        <v>20</v>
      </c>
      <c r="K46" s="69">
        <f>D46+E46+F46+G46+H46+I46+J46</f>
        <v>11100</v>
      </c>
    </row>
    <row r="47" spans="1:11" s="21" customFormat="1" ht="28.5" x14ac:dyDescent="0.25">
      <c r="A47" s="79" t="s">
        <v>58</v>
      </c>
      <c r="B47" s="80" t="s">
        <v>31</v>
      </c>
      <c r="C47" s="81" t="s">
        <v>59</v>
      </c>
      <c r="D47" s="69" t="s">
        <v>20</v>
      </c>
      <c r="E47" s="69" t="s">
        <v>20</v>
      </c>
      <c r="F47" s="69" t="s">
        <v>20</v>
      </c>
      <c r="G47" s="69">
        <f>11100-11100</f>
        <v>0</v>
      </c>
      <c r="H47" s="69" t="s">
        <v>20</v>
      </c>
      <c r="I47" s="69" t="s">
        <v>20</v>
      </c>
      <c r="J47" s="69" t="s">
        <v>20</v>
      </c>
      <c r="K47" s="69">
        <f>D47+E47+F47+G47+H47+I47+J47</f>
        <v>0</v>
      </c>
    </row>
    <row r="48" spans="1:11" s="21" customFormat="1" ht="28.5" x14ac:dyDescent="0.2">
      <c r="A48" s="19" t="s">
        <v>58</v>
      </c>
      <c r="B48" s="83"/>
      <c r="C48" s="84" t="s">
        <v>60</v>
      </c>
      <c r="D48" s="70">
        <f>SUM(D46:D47)</f>
        <v>0</v>
      </c>
      <c r="E48" s="70">
        <f t="shared" ref="E48:K48" si="8">SUM(E46:E47)</f>
        <v>0</v>
      </c>
      <c r="F48" s="70">
        <f t="shared" si="8"/>
        <v>0</v>
      </c>
      <c r="G48" s="70">
        <f t="shared" si="8"/>
        <v>11100</v>
      </c>
      <c r="H48" s="70">
        <f t="shared" si="8"/>
        <v>0</v>
      </c>
      <c r="I48" s="70">
        <f t="shared" si="8"/>
        <v>0</v>
      </c>
      <c r="J48" s="70">
        <f t="shared" si="8"/>
        <v>0</v>
      </c>
      <c r="K48" s="70">
        <f t="shared" si="8"/>
        <v>11100</v>
      </c>
    </row>
    <row r="49" spans="1:12" s="21" customFormat="1" x14ac:dyDescent="0.2">
      <c r="C49" s="85"/>
    </row>
    <row r="50" spans="1:12" s="21" customFormat="1" x14ac:dyDescent="0.2">
      <c r="A50" s="74"/>
      <c r="B50" s="75"/>
      <c r="C50" s="76"/>
      <c r="D50" s="19" t="s">
        <v>1</v>
      </c>
      <c r="E50" s="19" t="s">
        <v>2</v>
      </c>
      <c r="F50" s="19" t="s">
        <v>3</v>
      </c>
      <c r="G50" s="19" t="s">
        <v>4</v>
      </c>
      <c r="H50" s="19" t="s">
        <v>5</v>
      </c>
      <c r="I50" s="19" t="s">
        <v>6</v>
      </c>
      <c r="J50" s="19" t="s">
        <v>7</v>
      </c>
      <c r="K50" s="72"/>
    </row>
    <row r="51" spans="1:12" s="21" customFormat="1" ht="28.5" x14ac:dyDescent="0.2">
      <c r="A51" s="74"/>
      <c r="B51" s="77" t="s">
        <v>61</v>
      </c>
      <c r="C51" s="78" t="s">
        <v>62</v>
      </c>
      <c r="D51" s="20" t="s">
        <v>9</v>
      </c>
      <c r="E51" s="20" t="s">
        <v>10</v>
      </c>
      <c r="F51" s="20" t="s">
        <v>11</v>
      </c>
      <c r="G51" s="20" t="s">
        <v>12</v>
      </c>
      <c r="H51" s="20" t="s">
        <v>13</v>
      </c>
      <c r="I51" s="20" t="s">
        <v>14</v>
      </c>
      <c r="J51" s="20" t="s">
        <v>15</v>
      </c>
      <c r="K51" s="73"/>
    </row>
    <row r="52" spans="1:12" s="21" customFormat="1" x14ac:dyDescent="0.2">
      <c r="A52" s="74"/>
      <c r="B52" s="80" t="s">
        <v>17</v>
      </c>
      <c r="C52" s="81" t="s">
        <v>255</v>
      </c>
      <c r="D52" s="69" t="s">
        <v>20</v>
      </c>
      <c r="E52" s="69" t="s">
        <v>20</v>
      </c>
      <c r="F52" s="69">
        <v>65000</v>
      </c>
      <c r="G52" s="69">
        <v>0</v>
      </c>
      <c r="H52" s="69" t="s">
        <v>20</v>
      </c>
      <c r="I52" s="69" t="s">
        <v>20</v>
      </c>
      <c r="J52" s="69" t="s">
        <v>20</v>
      </c>
      <c r="K52" s="69">
        <f>D52+E52+F52+G52+H52+I52+J52</f>
        <v>65000</v>
      </c>
      <c r="L52" s="172"/>
    </row>
    <row r="53" spans="1:12" s="21" customFormat="1" ht="28.5" x14ac:dyDescent="0.25">
      <c r="A53" s="79" t="s">
        <v>63</v>
      </c>
      <c r="B53" s="80" t="s">
        <v>21</v>
      </c>
      <c r="C53" s="81" t="s">
        <v>64</v>
      </c>
      <c r="D53" s="69" t="s">
        <v>20</v>
      </c>
      <c r="E53" s="69" t="s">
        <v>20</v>
      </c>
      <c r="F53" s="69" t="s">
        <v>20</v>
      </c>
      <c r="G53" s="69">
        <v>0</v>
      </c>
      <c r="H53" s="69" t="s">
        <v>20</v>
      </c>
      <c r="I53" s="69" t="s">
        <v>20</v>
      </c>
      <c r="J53" s="69" t="s">
        <v>20</v>
      </c>
      <c r="K53" s="69">
        <f>D53+E53+F53+G53+H53+I53+J53</f>
        <v>0</v>
      </c>
    </row>
    <row r="54" spans="1:12" s="21" customFormat="1" ht="15" x14ac:dyDescent="0.25">
      <c r="A54" s="82"/>
      <c r="B54" s="80" t="s">
        <v>23</v>
      </c>
      <c r="C54" s="81" t="s">
        <v>65</v>
      </c>
      <c r="D54" s="69" t="s">
        <v>20</v>
      </c>
      <c r="E54" s="69" t="s">
        <v>20</v>
      </c>
      <c r="F54" s="69">
        <f>18500+16200</f>
        <v>34700</v>
      </c>
      <c r="G54" s="69">
        <f>131500-16200-4000</f>
        <v>111300</v>
      </c>
      <c r="H54" s="69" t="s">
        <v>20</v>
      </c>
      <c r="I54" s="69" t="s">
        <v>20</v>
      </c>
      <c r="J54" s="69" t="s">
        <v>20</v>
      </c>
      <c r="K54" s="69">
        <f>D54+E54+F54+G54+H54+I54+J54</f>
        <v>146000</v>
      </c>
    </row>
    <row r="55" spans="1:12" s="21" customFormat="1" ht="28.5" x14ac:dyDescent="0.2">
      <c r="A55" s="19" t="s">
        <v>63</v>
      </c>
      <c r="B55" s="83"/>
      <c r="C55" s="84" t="s">
        <v>66</v>
      </c>
      <c r="D55" s="70">
        <f>SUM(D53:D54)</f>
        <v>0</v>
      </c>
      <c r="E55" s="70">
        <f>SUM(E53:E54)</f>
        <v>0</v>
      </c>
      <c r="F55" s="70">
        <f>SUM(F52:F54)</f>
        <v>99700</v>
      </c>
      <c r="G55" s="70">
        <f>SUM(G52:G54)</f>
        <v>111300</v>
      </c>
      <c r="H55" s="70">
        <f>SUM(H52:H54)</f>
        <v>0</v>
      </c>
      <c r="I55" s="70">
        <f>SUM(I52:I54)</f>
        <v>0</v>
      </c>
      <c r="J55" s="70">
        <f>SUM(J52:J54)</f>
        <v>0</v>
      </c>
      <c r="K55" s="70">
        <f>D55+E55+F55+G55+H55+I55+J55</f>
        <v>211000</v>
      </c>
    </row>
    <row r="56" spans="1:12" s="21" customFormat="1" x14ac:dyDescent="0.2">
      <c r="C56" s="85"/>
    </row>
    <row r="57" spans="1:12" s="21" customFormat="1" ht="28.5" x14ac:dyDescent="0.2">
      <c r="B57" s="77" t="s">
        <v>211</v>
      </c>
      <c r="C57" s="78" t="s">
        <v>212</v>
      </c>
      <c r="D57" s="20" t="s">
        <v>9</v>
      </c>
      <c r="E57" s="20" t="s">
        <v>10</v>
      </c>
      <c r="F57" s="20" t="s">
        <v>11</v>
      </c>
      <c r="G57" s="20" t="s">
        <v>12</v>
      </c>
      <c r="H57" s="20" t="s">
        <v>13</v>
      </c>
      <c r="I57" s="20" t="s">
        <v>14</v>
      </c>
      <c r="J57" s="20" t="s">
        <v>15</v>
      </c>
      <c r="K57" s="73"/>
    </row>
    <row r="58" spans="1:12" s="21" customFormat="1" x14ac:dyDescent="0.2">
      <c r="B58" s="80" t="s">
        <v>21</v>
      </c>
      <c r="C58" s="81" t="s">
        <v>213</v>
      </c>
      <c r="D58" s="69" t="s">
        <v>20</v>
      </c>
      <c r="E58" s="69" t="s">
        <v>20</v>
      </c>
      <c r="F58" s="69" t="s">
        <v>20</v>
      </c>
      <c r="G58" s="69">
        <v>100000</v>
      </c>
      <c r="H58" s="69" t="s">
        <v>20</v>
      </c>
      <c r="I58" s="69" t="s">
        <v>20</v>
      </c>
      <c r="J58" s="69" t="s">
        <v>20</v>
      </c>
      <c r="K58" s="69">
        <f>D58+E58+F58+G58+H58+I58+J58</f>
        <v>100000</v>
      </c>
    </row>
    <row r="59" spans="1:12" s="21" customFormat="1" ht="28.5" x14ac:dyDescent="0.2">
      <c r="B59" s="83"/>
      <c r="C59" s="84" t="s">
        <v>214</v>
      </c>
      <c r="D59" s="70">
        <f t="shared" ref="D59:J59" si="9">SUM(D57:D58)</f>
        <v>0</v>
      </c>
      <c r="E59" s="70">
        <f t="shared" si="9"/>
        <v>0</v>
      </c>
      <c r="F59" s="70">
        <f t="shared" si="9"/>
        <v>0</v>
      </c>
      <c r="G59" s="70">
        <f t="shared" si="9"/>
        <v>100000</v>
      </c>
      <c r="H59" s="70">
        <f t="shared" si="9"/>
        <v>0</v>
      </c>
      <c r="I59" s="70">
        <f t="shared" si="9"/>
        <v>0</v>
      </c>
      <c r="J59" s="70">
        <f t="shared" si="9"/>
        <v>0</v>
      </c>
      <c r="K59" s="70">
        <f>D59+E59+F59+G59+H59+I59+J59</f>
        <v>100000</v>
      </c>
    </row>
    <row r="60" spans="1:12" s="21" customFormat="1" x14ac:dyDescent="0.2">
      <c r="C60" s="85"/>
    </row>
    <row r="61" spans="1:12" s="21" customFormat="1" ht="28.5" x14ac:dyDescent="0.2">
      <c r="A61" s="74"/>
      <c r="B61" s="77" t="s">
        <v>67</v>
      </c>
      <c r="C61" s="78" t="s">
        <v>68</v>
      </c>
      <c r="D61" s="20" t="s">
        <v>9</v>
      </c>
      <c r="E61" s="20" t="s">
        <v>10</v>
      </c>
      <c r="F61" s="20" t="s">
        <v>11</v>
      </c>
      <c r="G61" s="20" t="s">
        <v>12</v>
      </c>
      <c r="H61" s="20" t="s">
        <v>13</v>
      </c>
      <c r="I61" s="20" t="s">
        <v>14</v>
      </c>
      <c r="J61" s="20" t="s">
        <v>15</v>
      </c>
      <c r="K61" s="73"/>
    </row>
    <row r="62" spans="1:12" s="21" customFormat="1" ht="28.5" x14ac:dyDescent="0.2">
      <c r="A62" s="74"/>
      <c r="B62" s="80" t="s">
        <v>17</v>
      </c>
      <c r="C62" s="81" t="s">
        <v>258</v>
      </c>
      <c r="D62" s="69" t="s">
        <v>20</v>
      </c>
      <c r="E62" s="69" t="s">
        <v>20</v>
      </c>
      <c r="F62" s="69" t="s">
        <v>20</v>
      </c>
      <c r="G62" s="69">
        <v>62000</v>
      </c>
      <c r="H62" s="69" t="s">
        <v>20</v>
      </c>
      <c r="I62" s="69" t="s">
        <v>20</v>
      </c>
      <c r="J62" s="69" t="s">
        <v>20</v>
      </c>
      <c r="K62" s="69">
        <f>D62+E62+F62+G62+H62+I62+J62</f>
        <v>62000</v>
      </c>
    </row>
    <row r="63" spans="1:12" s="21" customFormat="1" ht="42.75" x14ac:dyDescent="0.25">
      <c r="A63" s="79" t="s">
        <v>69</v>
      </c>
      <c r="B63" s="80" t="s">
        <v>21</v>
      </c>
      <c r="C63" s="81" t="s">
        <v>70</v>
      </c>
      <c r="D63" s="69" t="s">
        <v>20</v>
      </c>
      <c r="E63" s="69" t="s">
        <v>20</v>
      </c>
      <c r="F63" s="69" t="s">
        <v>20</v>
      </c>
      <c r="G63" s="69">
        <f>62000-62000</f>
        <v>0</v>
      </c>
      <c r="H63" s="69" t="s">
        <v>20</v>
      </c>
      <c r="I63" s="69" t="s">
        <v>20</v>
      </c>
      <c r="J63" s="69" t="s">
        <v>20</v>
      </c>
      <c r="K63" s="69">
        <f>D63+E63+F63+G63+H63+I63+J63</f>
        <v>0</v>
      </c>
    </row>
    <row r="64" spans="1:12" s="21" customFormat="1" ht="28.5" x14ac:dyDescent="0.2">
      <c r="A64" s="19" t="s">
        <v>69</v>
      </c>
      <c r="B64" s="83"/>
      <c r="C64" s="84" t="s">
        <v>71</v>
      </c>
      <c r="D64" s="70">
        <f>SUM(D62:D63)</f>
        <v>0</v>
      </c>
      <c r="E64" s="70">
        <f t="shared" ref="E64:K64" si="10">SUM(E62:E63)</f>
        <v>0</v>
      </c>
      <c r="F64" s="70">
        <f t="shared" si="10"/>
        <v>0</v>
      </c>
      <c r="G64" s="70">
        <f t="shared" si="10"/>
        <v>62000</v>
      </c>
      <c r="H64" s="70">
        <f t="shared" si="10"/>
        <v>0</v>
      </c>
      <c r="I64" s="70">
        <f t="shared" si="10"/>
        <v>0</v>
      </c>
      <c r="J64" s="70">
        <f t="shared" si="10"/>
        <v>0</v>
      </c>
      <c r="K64" s="70">
        <f t="shared" si="10"/>
        <v>62000</v>
      </c>
    </row>
    <row r="65" spans="1:11" s="21" customFormat="1" x14ac:dyDescent="0.2">
      <c r="C65" s="85"/>
    </row>
    <row r="66" spans="1:11" s="21" customFormat="1" x14ac:dyDescent="0.2">
      <c r="A66" s="74"/>
      <c r="B66" s="75"/>
      <c r="C66" s="76"/>
      <c r="D66" s="19" t="s">
        <v>1</v>
      </c>
      <c r="E66" s="19" t="s">
        <v>2</v>
      </c>
      <c r="F66" s="19" t="s">
        <v>3</v>
      </c>
      <c r="G66" s="19" t="s">
        <v>4</v>
      </c>
      <c r="H66" s="19" t="s">
        <v>5</v>
      </c>
      <c r="I66" s="19" t="s">
        <v>6</v>
      </c>
      <c r="J66" s="19" t="s">
        <v>7</v>
      </c>
      <c r="K66" s="72"/>
    </row>
    <row r="67" spans="1:11" s="21" customFormat="1" x14ac:dyDescent="0.2">
      <c r="A67" s="74"/>
      <c r="B67" s="77" t="s">
        <v>72</v>
      </c>
      <c r="C67" s="78" t="s">
        <v>73</v>
      </c>
      <c r="D67" s="20" t="s">
        <v>9</v>
      </c>
      <c r="E67" s="20" t="s">
        <v>10</v>
      </c>
      <c r="F67" s="20" t="s">
        <v>11</v>
      </c>
      <c r="G67" s="20" t="s">
        <v>12</v>
      </c>
      <c r="H67" s="20" t="s">
        <v>13</v>
      </c>
      <c r="I67" s="20" t="s">
        <v>14</v>
      </c>
      <c r="J67" s="20" t="s">
        <v>15</v>
      </c>
      <c r="K67" s="73"/>
    </row>
    <row r="68" spans="1:11" s="21" customFormat="1" ht="15" x14ac:dyDescent="0.25">
      <c r="A68" s="79" t="s">
        <v>74</v>
      </c>
      <c r="B68" s="80" t="s">
        <v>17</v>
      </c>
      <c r="C68" s="81" t="s">
        <v>75</v>
      </c>
      <c r="D68" s="69" t="s">
        <v>20</v>
      </c>
      <c r="E68" s="69" t="s">
        <v>20</v>
      </c>
      <c r="F68" s="69" t="s">
        <v>20</v>
      </c>
      <c r="G68" s="69" t="s">
        <v>20</v>
      </c>
      <c r="H68" s="69" t="s">
        <v>20</v>
      </c>
      <c r="I68" s="69" t="s">
        <v>20</v>
      </c>
      <c r="J68" s="69">
        <v>62300</v>
      </c>
      <c r="K68" s="69">
        <f>D68+E68+F68+G68+H68+I68+J68</f>
        <v>62300</v>
      </c>
    </row>
    <row r="69" spans="1:11" s="21" customFormat="1" ht="15" x14ac:dyDescent="0.25">
      <c r="A69" s="82"/>
      <c r="B69" s="80" t="s">
        <v>21</v>
      </c>
      <c r="C69" s="81" t="s">
        <v>76</v>
      </c>
      <c r="D69" s="69" t="s">
        <v>20</v>
      </c>
      <c r="E69" s="69" t="s">
        <v>20</v>
      </c>
      <c r="F69" s="69" t="s">
        <v>20</v>
      </c>
      <c r="G69" s="69" t="s">
        <v>20</v>
      </c>
      <c r="H69" s="69" t="s">
        <v>20</v>
      </c>
      <c r="I69" s="69" t="s">
        <v>20</v>
      </c>
      <c r="J69" s="69">
        <v>0</v>
      </c>
      <c r="K69" s="69">
        <f>D69+E69+F69+G69+H69+I69+J69</f>
        <v>0</v>
      </c>
    </row>
    <row r="70" spans="1:11" s="21" customFormat="1" ht="15" x14ac:dyDescent="0.25">
      <c r="A70" s="82"/>
      <c r="B70" s="80" t="s">
        <v>23</v>
      </c>
      <c r="C70" s="81" t="s">
        <v>77</v>
      </c>
      <c r="D70" s="69" t="s">
        <v>20</v>
      </c>
      <c r="E70" s="69" t="s">
        <v>20</v>
      </c>
      <c r="F70" s="69" t="s">
        <v>20</v>
      </c>
      <c r="G70" s="69" t="s">
        <v>20</v>
      </c>
      <c r="H70" s="69" t="s">
        <v>20</v>
      </c>
      <c r="I70" s="69" t="s">
        <v>20</v>
      </c>
      <c r="J70" s="69">
        <v>0</v>
      </c>
      <c r="K70" s="69">
        <f>D70+E70+F70+G70+H70+I70+J70</f>
        <v>0</v>
      </c>
    </row>
    <row r="71" spans="1:11" s="21" customFormat="1" ht="28.5" x14ac:dyDescent="0.2">
      <c r="A71" s="19" t="s">
        <v>74</v>
      </c>
      <c r="B71" s="83"/>
      <c r="C71" s="84" t="s">
        <v>78</v>
      </c>
      <c r="D71" s="70">
        <f>SUM(D68:D70)</f>
        <v>0</v>
      </c>
      <c r="E71" s="70">
        <f t="shared" ref="E71:J71" si="11">SUM(E68:E70)</f>
        <v>0</v>
      </c>
      <c r="F71" s="70">
        <f t="shared" si="11"/>
        <v>0</v>
      </c>
      <c r="G71" s="70">
        <f t="shared" si="11"/>
        <v>0</v>
      </c>
      <c r="H71" s="70">
        <f t="shared" si="11"/>
        <v>0</v>
      </c>
      <c r="I71" s="70">
        <f t="shared" si="11"/>
        <v>0</v>
      </c>
      <c r="J71" s="70">
        <f t="shared" si="11"/>
        <v>62300</v>
      </c>
      <c r="K71" s="70">
        <f>D71+E71+F71+G71+H71+I71+J71</f>
        <v>62300</v>
      </c>
    </row>
    <row r="72" spans="1:11" s="21" customFormat="1" x14ac:dyDescent="0.2">
      <c r="C72" s="85"/>
    </row>
    <row r="73" spans="1:11" s="21" customFormat="1" ht="15" x14ac:dyDescent="0.2">
      <c r="A73" s="88"/>
      <c r="B73" s="89"/>
      <c r="C73" s="90"/>
      <c r="D73" s="23"/>
      <c r="E73" s="23"/>
      <c r="F73" s="23"/>
      <c r="G73" s="23"/>
      <c r="H73" s="23"/>
      <c r="I73" s="23"/>
      <c r="J73" s="23"/>
      <c r="K73" s="23"/>
    </row>
    <row r="74" spans="1:11" s="21" customFormat="1" ht="15" x14ac:dyDescent="0.2">
      <c r="A74" s="88"/>
      <c r="B74" s="268" t="s">
        <v>79</v>
      </c>
      <c r="C74" s="268"/>
      <c r="D74" s="71">
        <f t="shared" ref="D74:K74" si="12">D71+D64+D55+D48+D42+D37+D31+D23+D14+D27+D59+D18</f>
        <v>259490.5</v>
      </c>
      <c r="E74" s="71">
        <f t="shared" si="12"/>
        <v>1185897</v>
      </c>
      <c r="F74" s="71">
        <f t="shared" si="12"/>
        <v>18403543.66</v>
      </c>
      <c r="G74" s="71">
        <f t="shared" si="12"/>
        <v>2828045</v>
      </c>
      <c r="H74" s="71">
        <f t="shared" si="12"/>
        <v>500</v>
      </c>
      <c r="I74" s="71">
        <f t="shared" si="12"/>
        <v>79476.070000000007</v>
      </c>
      <c r="J74" s="71">
        <f t="shared" si="12"/>
        <v>144255.5</v>
      </c>
      <c r="K74" s="71">
        <f t="shared" si="12"/>
        <v>22901207.73</v>
      </c>
    </row>
  </sheetData>
  <mergeCells count="3">
    <mergeCell ref="B2:C3"/>
    <mergeCell ref="B74:C74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fitToWidth="2" fitToHeight="2" orientation="landscape" r:id="rId1"/>
  <headerFooter alignWithMargins="0"/>
  <rowBreaks count="1" manualBreakCount="1">
    <brk id="39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69"/>
  <sheetViews>
    <sheetView topLeftCell="C1" zoomScaleNormal="100" zoomScaleSheetLayoutView="100" workbookViewId="0">
      <pane ySplit="3" topLeftCell="A4" activePane="bottomLeft" state="frozen"/>
      <selection sqref="A1:IV65536"/>
      <selection pane="bottomLeft" activeCell="C70" sqref="A70:IV81"/>
    </sheetView>
  </sheetViews>
  <sheetFormatPr defaultRowHeight="14.25" x14ac:dyDescent="0.2"/>
  <cols>
    <col min="1" max="1" width="5.5703125" style="25" customWidth="1"/>
    <col min="2" max="2" width="14.140625" style="25" customWidth="1"/>
    <col min="3" max="3" width="48.140625" style="24" customWidth="1"/>
    <col min="4" max="4" width="15.7109375" style="25" customWidth="1"/>
    <col min="5" max="5" width="18.85546875" style="25" customWidth="1"/>
    <col min="6" max="6" width="20.28515625" style="25" customWidth="1"/>
    <col min="7" max="7" width="19.28515625" style="25" customWidth="1"/>
    <col min="8" max="10" width="15.85546875" style="25" customWidth="1"/>
    <col min="11" max="11" width="21.140625" style="25" customWidth="1"/>
    <col min="12" max="16384" width="9.140625" style="25"/>
  </cols>
  <sheetData>
    <row r="1" spans="1:11" s="21" customFormat="1" ht="45" customHeight="1" x14ac:dyDescent="0.2">
      <c r="A1" s="269" t="s">
        <v>250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s="21" customFormat="1" ht="60" x14ac:dyDescent="0.2">
      <c r="B2" s="267" t="s">
        <v>0</v>
      </c>
      <c r="C2" s="267"/>
      <c r="D2" s="18" t="s">
        <v>1</v>
      </c>
      <c r="E2" s="18" t="s">
        <v>2</v>
      </c>
      <c r="F2" s="18" t="s">
        <v>3</v>
      </c>
      <c r="G2" s="18" t="s">
        <v>4</v>
      </c>
      <c r="H2" s="18" t="s">
        <v>5</v>
      </c>
      <c r="I2" s="18" t="s">
        <v>6</v>
      </c>
      <c r="J2" s="18" t="s">
        <v>7</v>
      </c>
      <c r="K2" s="247" t="s">
        <v>8</v>
      </c>
    </row>
    <row r="3" spans="1:11" s="21" customFormat="1" ht="15" x14ac:dyDescent="0.2">
      <c r="B3" s="267"/>
      <c r="C3" s="267"/>
      <c r="D3" s="247" t="s">
        <v>9</v>
      </c>
      <c r="E3" s="247" t="s">
        <v>10</v>
      </c>
      <c r="F3" s="247" t="s">
        <v>11</v>
      </c>
      <c r="G3" s="247" t="s">
        <v>12</v>
      </c>
      <c r="H3" s="247" t="s">
        <v>13</v>
      </c>
      <c r="I3" s="247" t="s">
        <v>14</v>
      </c>
      <c r="J3" s="247" t="s">
        <v>15</v>
      </c>
      <c r="K3" s="247" t="s">
        <v>16</v>
      </c>
    </row>
    <row r="4" spans="1:11" s="21" customFormat="1" x14ac:dyDescent="0.2">
      <c r="A4" s="74"/>
      <c r="B4" s="75"/>
      <c r="C4" s="76"/>
      <c r="D4" s="19" t="s">
        <v>1</v>
      </c>
      <c r="E4" s="19" t="s">
        <v>2</v>
      </c>
      <c r="F4" s="19" t="s">
        <v>3</v>
      </c>
      <c r="G4" s="19" t="s">
        <v>4</v>
      </c>
      <c r="H4" s="19" t="s">
        <v>5</v>
      </c>
      <c r="I4" s="19" t="s">
        <v>6</v>
      </c>
      <c r="J4" s="19" t="s">
        <v>7</v>
      </c>
      <c r="K4" s="72"/>
    </row>
    <row r="5" spans="1:11" s="21" customFormat="1" ht="28.5" x14ac:dyDescent="0.2">
      <c r="A5" s="74"/>
      <c r="B5" s="77" t="s">
        <v>17</v>
      </c>
      <c r="C5" s="78" t="s">
        <v>18</v>
      </c>
      <c r="D5" s="20" t="s">
        <v>9</v>
      </c>
      <c r="E5" s="20" t="s">
        <v>10</v>
      </c>
      <c r="F5" s="20" t="s">
        <v>11</v>
      </c>
      <c r="G5" s="20" t="s">
        <v>12</v>
      </c>
      <c r="H5" s="20" t="s">
        <v>13</v>
      </c>
      <c r="I5" s="20" t="s">
        <v>14</v>
      </c>
      <c r="J5" s="20" t="s">
        <v>15</v>
      </c>
      <c r="K5" s="73"/>
    </row>
    <row r="6" spans="1:11" s="21" customFormat="1" ht="15" x14ac:dyDescent="0.25">
      <c r="A6" s="79" t="s">
        <v>16</v>
      </c>
      <c r="B6" s="80" t="s">
        <v>17</v>
      </c>
      <c r="C6" s="81" t="s">
        <v>19</v>
      </c>
      <c r="D6" s="69" t="s">
        <v>20</v>
      </c>
      <c r="E6" s="69">
        <v>942551</v>
      </c>
      <c r="F6" s="69">
        <f>13408881.64+30000</f>
        <v>13438881.640000001</v>
      </c>
      <c r="G6" s="69">
        <f>1829105-30000</f>
        <v>1799105</v>
      </c>
      <c r="H6" s="69" t="s">
        <v>20</v>
      </c>
      <c r="I6" s="69" t="s">
        <v>20</v>
      </c>
      <c r="J6" s="69">
        <v>2000</v>
      </c>
      <c r="K6" s="69">
        <f t="shared" ref="K6:K12" si="0">D6+E6+F6+G6+H6+I6+J6</f>
        <v>16182537.640000001</v>
      </c>
    </row>
    <row r="7" spans="1:11" s="21" customFormat="1" ht="15" x14ac:dyDescent="0.25">
      <c r="A7" s="82"/>
      <c r="B7" s="80" t="s">
        <v>21</v>
      </c>
      <c r="C7" s="81" t="s">
        <v>22</v>
      </c>
      <c r="D7" s="69" t="s">
        <v>20</v>
      </c>
      <c r="E7" s="69" t="s">
        <v>20</v>
      </c>
      <c r="F7" s="69">
        <v>33060</v>
      </c>
      <c r="G7" s="69" t="s">
        <v>20</v>
      </c>
      <c r="H7" s="69" t="s">
        <v>20</v>
      </c>
      <c r="I7" s="69" t="s">
        <v>20</v>
      </c>
      <c r="J7" s="69" t="s">
        <v>20</v>
      </c>
      <c r="K7" s="69">
        <f t="shared" si="0"/>
        <v>33060</v>
      </c>
    </row>
    <row r="8" spans="1:11" s="21" customFormat="1" ht="28.5" x14ac:dyDescent="0.25">
      <c r="A8" s="82"/>
      <c r="B8" s="80" t="s">
        <v>23</v>
      </c>
      <c r="C8" s="81" t="s">
        <v>24</v>
      </c>
      <c r="D8" s="69">
        <v>274057.98</v>
      </c>
      <c r="E8" s="69">
        <v>10200</v>
      </c>
      <c r="F8" s="69">
        <v>2515111.35</v>
      </c>
      <c r="G8" s="69" t="s">
        <v>20</v>
      </c>
      <c r="H8" s="69" t="s">
        <v>20</v>
      </c>
      <c r="I8" s="69">
        <v>6000</v>
      </c>
      <c r="J8" s="69">
        <v>71955.5</v>
      </c>
      <c r="K8" s="69">
        <f t="shared" si="0"/>
        <v>2877324.83</v>
      </c>
    </row>
    <row r="9" spans="1:11" s="21" customFormat="1" ht="15" x14ac:dyDescent="0.25">
      <c r="A9" s="82"/>
      <c r="B9" s="80" t="s">
        <v>25</v>
      </c>
      <c r="C9" s="81" t="s">
        <v>26</v>
      </c>
      <c r="D9" s="69" t="s">
        <v>20</v>
      </c>
      <c r="E9" s="69">
        <v>235000</v>
      </c>
      <c r="F9" s="69">
        <v>4500</v>
      </c>
      <c r="G9" s="69" t="s">
        <v>20</v>
      </c>
      <c r="H9" s="69" t="s">
        <v>20</v>
      </c>
      <c r="I9" s="69" t="s">
        <v>20</v>
      </c>
      <c r="J9" s="69">
        <v>6000</v>
      </c>
      <c r="K9" s="69">
        <f t="shared" si="0"/>
        <v>245500</v>
      </c>
    </row>
    <row r="10" spans="1:11" s="21" customFormat="1" ht="15" x14ac:dyDescent="0.25">
      <c r="A10" s="82"/>
      <c r="B10" s="80" t="s">
        <v>27</v>
      </c>
      <c r="C10" s="81" t="s">
        <v>28</v>
      </c>
      <c r="D10" s="69" t="s">
        <v>20</v>
      </c>
      <c r="E10" s="69" t="s">
        <v>20</v>
      </c>
      <c r="F10" s="69">
        <v>325950</v>
      </c>
      <c r="G10" s="69" t="s">
        <v>20</v>
      </c>
      <c r="H10" s="69" t="s">
        <v>20</v>
      </c>
      <c r="I10" s="69" t="s">
        <v>20</v>
      </c>
      <c r="J10" s="69">
        <v>0</v>
      </c>
      <c r="K10" s="69">
        <f t="shared" si="0"/>
        <v>325950</v>
      </c>
    </row>
    <row r="11" spans="1:11" s="21" customFormat="1" ht="15" x14ac:dyDescent="0.25">
      <c r="A11" s="82"/>
      <c r="B11" s="80" t="s">
        <v>29</v>
      </c>
      <c r="C11" s="81" t="s">
        <v>30</v>
      </c>
      <c r="D11" s="69" t="s">
        <v>20</v>
      </c>
      <c r="E11" s="69" t="s">
        <v>20</v>
      </c>
      <c r="F11" s="69">
        <v>1150744.2</v>
      </c>
      <c r="G11" s="69" t="s">
        <v>20</v>
      </c>
      <c r="H11" s="69" t="s">
        <v>20</v>
      </c>
      <c r="I11" s="69" t="s">
        <v>20</v>
      </c>
      <c r="J11" s="69">
        <v>0</v>
      </c>
      <c r="K11" s="69">
        <f t="shared" si="0"/>
        <v>1150744.2</v>
      </c>
    </row>
    <row r="12" spans="1:11" s="21" customFormat="1" ht="15" x14ac:dyDescent="0.25">
      <c r="A12" s="82"/>
      <c r="B12" s="80" t="s">
        <v>31</v>
      </c>
      <c r="C12" s="81" t="s">
        <v>32</v>
      </c>
      <c r="D12" s="69">
        <v>380</v>
      </c>
      <c r="E12" s="69">
        <v>4146</v>
      </c>
      <c r="F12" s="69">
        <f>70800+7200</f>
        <v>78000</v>
      </c>
      <c r="G12" s="69" t="s">
        <v>20</v>
      </c>
      <c r="H12" s="69" t="s">
        <v>20</v>
      </c>
      <c r="I12" s="69">
        <f>80676.07-7200</f>
        <v>73476.070000000007</v>
      </c>
      <c r="J12" s="69" t="s">
        <v>20</v>
      </c>
      <c r="K12" s="69">
        <f t="shared" si="0"/>
        <v>156002.07</v>
      </c>
    </row>
    <row r="13" spans="1:11" s="21" customFormat="1" ht="15" x14ac:dyDescent="0.25">
      <c r="A13" s="82"/>
      <c r="B13" s="80" t="s">
        <v>33</v>
      </c>
      <c r="C13" s="81" t="s">
        <v>34</v>
      </c>
      <c r="D13" s="69" t="s">
        <v>20</v>
      </c>
      <c r="E13" s="69">
        <v>0</v>
      </c>
      <c r="F13" s="69">
        <v>5000</v>
      </c>
      <c r="G13" s="69">
        <v>9010</v>
      </c>
      <c r="H13" s="69">
        <v>500</v>
      </c>
      <c r="I13" s="69" t="s">
        <v>20</v>
      </c>
      <c r="J13" s="69">
        <v>2000</v>
      </c>
      <c r="K13" s="69">
        <f>D13+E13+F13+G13+H13+I13+J13</f>
        <v>16510</v>
      </c>
    </row>
    <row r="14" spans="1:11" s="21" customFormat="1" ht="28.5" x14ac:dyDescent="0.2">
      <c r="A14" s="19" t="s">
        <v>16</v>
      </c>
      <c r="B14" s="83"/>
      <c r="C14" s="84" t="s">
        <v>35</v>
      </c>
      <c r="D14" s="70">
        <f>SUM(D6:D13)</f>
        <v>274437.98</v>
      </c>
      <c r="E14" s="70">
        <f t="shared" ref="E14:J14" si="1">SUM(E6:E13)</f>
        <v>1191897</v>
      </c>
      <c r="F14" s="70">
        <f t="shared" si="1"/>
        <v>17551247.190000001</v>
      </c>
      <c r="G14" s="70">
        <f t="shared" si="1"/>
        <v>1808115</v>
      </c>
      <c r="H14" s="70">
        <f t="shared" si="1"/>
        <v>500</v>
      </c>
      <c r="I14" s="70">
        <f t="shared" si="1"/>
        <v>79476.070000000007</v>
      </c>
      <c r="J14" s="70">
        <f t="shared" si="1"/>
        <v>81955.5</v>
      </c>
      <c r="K14" s="70">
        <f>D14+E14+F14+G14+H14+I14+J14</f>
        <v>20987628.740000002</v>
      </c>
    </row>
    <row r="15" spans="1:11" s="21" customFormat="1" x14ac:dyDescent="0.2">
      <c r="C15" s="85"/>
    </row>
    <row r="16" spans="1:11" s="21" customFormat="1" x14ac:dyDescent="0.2">
      <c r="B16" s="77" t="s">
        <v>242</v>
      </c>
      <c r="C16" s="78" t="s">
        <v>243</v>
      </c>
      <c r="D16" s="251" t="s">
        <v>9</v>
      </c>
      <c r="E16" s="20" t="s">
        <v>10</v>
      </c>
      <c r="F16" s="20" t="s">
        <v>11</v>
      </c>
      <c r="G16" s="20" t="s">
        <v>12</v>
      </c>
      <c r="H16" s="20" t="s">
        <v>13</v>
      </c>
      <c r="I16" s="20" t="s">
        <v>14</v>
      </c>
      <c r="J16" s="20" t="s">
        <v>15</v>
      </c>
      <c r="K16" s="73"/>
    </row>
    <row r="17" spans="1:11" s="21" customFormat="1" x14ac:dyDescent="0.2">
      <c r="B17" s="80" t="s">
        <v>41</v>
      </c>
      <c r="C17" s="81" t="s">
        <v>245</v>
      </c>
      <c r="D17" s="69" t="s">
        <v>20</v>
      </c>
      <c r="E17" s="69" t="s">
        <v>20</v>
      </c>
      <c r="F17" s="69" t="s">
        <v>20</v>
      </c>
      <c r="G17" s="69">
        <v>100000</v>
      </c>
      <c r="H17" s="69" t="s">
        <v>20</v>
      </c>
      <c r="I17" s="69" t="s">
        <v>20</v>
      </c>
      <c r="J17" s="69">
        <v>0</v>
      </c>
      <c r="K17" s="69">
        <f>D17+E17+F17+G17+H17+I17+J17</f>
        <v>100000</v>
      </c>
    </row>
    <row r="18" spans="1:11" s="21" customFormat="1" ht="28.5" x14ac:dyDescent="0.2">
      <c r="B18" s="83"/>
      <c r="C18" s="84" t="s">
        <v>244</v>
      </c>
      <c r="D18" s="70">
        <f t="shared" ref="D18:J18" si="2">SUM(D17:D17)</f>
        <v>0</v>
      </c>
      <c r="E18" s="70">
        <f t="shared" si="2"/>
        <v>0</v>
      </c>
      <c r="F18" s="70">
        <f t="shared" si="2"/>
        <v>0</v>
      </c>
      <c r="G18" s="70">
        <f t="shared" si="2"/>
        <v>100000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>D18+E18+F18+G18+H18+I18+J18</f>
        <v>100000</v>
      </c>
    </row>
    <row r="19" spans="1:11" s="21" customFormat="1" x14ac:dyDescent="0.2">
      <c r="A19" s="74"/>
      <c r="B19" s="75"/>
      <c r="C19" s="76"/>
      <c r="D19" s="19" t="s">
        <v>1</v>
      </c>
      <c r="E19" s="19" t="s">
        <v>2</v>
      </c>
      <c r="F19" s="19" t="s">
        <v>3</v>
      </c>
      <c r="G19" s="19" t="s">
        <v>4</v>
      </c>
      <c r="H19" s="19" t="s">
        <v>5</v>
      </c>
      <c r="I19" s="19" t="s">
        <v>6</v>
      </c>
      <c r="J19" s="19" t="s">
        <v>7</v>
      </c>
      <c r="K19" s="72"/>
    </row>
    <row r="20" spans="1:11" s="21" customFormat="1" ht="28.5" x14ac:dyDescent="0.2">
      <c r="A20" s="74"/>
      <c r="B20" s="77" t="s">
        <v>25</v>
      </c>
      <c r="C20" s="78" t="s">
        <v>36</v>
      </c>
      <c r="D20" s="20" t="s">
        <v>9</v>
      </c>
      <c r="E20" s="20" t="s">
        <v>10</v>
      </c>
      <c r="F20" s="20" t="s">
        <v>11</v>
      </c>
      <c r="G20" s="20" t="s">
        <v>12</v>
      </c>
      <c r="H20" s="20" t="s">
        <v>13</v>
      </c>
      <c r="I20" s="20" t="s">
        <v>14</v>
      </c>
      <c r="J20" s="20" t="s">
        <v>15</v>
      </c>
      <c r="K20" s="73"/>
    </row>
    <row r="21" spans="1:11" s="21" customFormat="1" ht="15" x14ac:dyDescent="0.25">
      <c r="A21" s="79" t="s">
        <v>37</v>
      </c>
      <c r="B21" s="80" t="s">
        <v>17</v>
      </c>
      <c r="C21" s="81" t="s">
        <v>38</v>
      </c>
      <c r="D21" s="69" t="s">
        <v>20</v>
      </c>
      <c r="E21" s="69" t="s">
        <v>20</v>
      </c>
      <c r="F21" s="69" t="s">
        <v>20</v>
      </c>
      <c r="G21" s="69" t="s">
        <v>20</v>
      </c>
      <c r="H21" s="69" t="s">
        <v>20</v>
      </c>
      <c r="I21" s="69" t="s">
        <v>20</v>
      </c>
      <c r="J21" s="69">
        <v>0</v>
      </c>
      <c r="K21" s="69">
        <f>D21+E21+F21+G21+H21+I21+J21</f>
        <v>0</v>
      </c>
    </row>
    <row r="22" spans="1:11" s="21" customFormat="1" ht="28.5" x14ac:dyDescent="0.25">
      <c r="A22" s="82"/>
      <c r="B22" s="80" t="s">
        <v>21</v>
      </c>
      <c r="C22" s="81" t="s">
        <v>39</v>
      </c>
      <c r="D22" s="69" t="s">
        <v>20</v>
      </c>
      <c r="E22" s="69" t="s">
        <v>20</v>
      </c>
      <c r="F22" s="69">
        <v>752651.34</v>
      </c>
      <c r="G22" s="69">
        <f>573500+4000</f>
        <v>577500</v>
      </c>
      <c r="H22" s="69" t="s">
        <v>20</v>
      </c>
      <c r="I22" s="69" t="s">
        <v>20</v>
      </c>
      <c r="J22" s="69">
        <v>0</v>
      </c>
      <c r="K22" s="69">
        <f>D22+E22+F22+G22+H22+I22+J22</f>
        <v>1330151.3399999999</v>
      </c>
    </row>
    <row r="23" spans="1:11" s="21" customFormat="1" ht="28.5" x14ac:dyDescent="0.2">
      <c r="A23" s="19" t="s">
        <v>37</v>
      </c>
      <c r="B23" s="83"/>
      <c r="C23" s="84" t="s">
        <v>40</v>
      </c>
      <c r="D23" s="70">
        <f>SUM(D21:D22)</f>
        <v>0</v>
      </c>
      <c r="E23" s="70">
        <f t="shared" ref="E23:J23" si="3">SUM(E21:E22)</f>
        <v>0</v>
      </c>
      <c r="F23" s="70">
        <f t="shared" si="3"/>
        <v>752651.34</v>
      </c>
      <c r="G23" s="70">
        <f t="shared" si="3"/>
        <v>577500</v>
      </c>
      <c r="H23" s="70">
        <f t="shared" si="3"/>
        <v>0</v>
      </c>
      <c r="I23" s="70">
        <f t="shared" si="3"/>
        <v>0</v>
      </c>
      <c r="J23" s="70">
        <f t="shared" si="3"/>
        <v>0</v>
      </c>
      <c r="K23" s="70">
        <f>D23+E23+F23+G23+H23+I23+J23</f>
        <v>1330151.3399999999</v>
      </c>
    </row>
    <row r="24" spans="1:11" s="21" customFormat="1" x14ac:dyDescent="0.2">
      <c r="C24" s="85"/>
    </row>
    <row r="25" spans="1:11" s="21" customFormat="1" x14ac:dyDescent="0.2">
      <c r="A25" s="74"/>
      <c r="B25" s="75"/>
      <c r="C25" s="76"/>
      <c r="D25" s="19" t="s">
        <v>1</v>
      </c>
      <c r="E25" s="19" t="s">
        <v>2</v>
      </c>
      <c r="F25" s="19" t="s">
        <v>3</v>
      </c>
      <c r="G25" s="19" t="s">
        <v>4</v>
      </c>
      <c r="H25" s="19" t="s">
        <v>5</v>
      </c>
      <c r="I25" s="19" t="s">
        <v>6</v>
      </c>
      <c r="J25" s="19" t="s">
        <v>7</v>
      </c>
      <c r="K25" s="72"/>
    </row>
    <row r="26" spans="1:11" s="21" customFormat="1" x14ac:dyDescent="0.2">
      <c r="A26" s="74"/>
      <c r="B26" s="77" t="s">
        <v>41</v>
      </c>
      <c r="C26" s="78" t="s">
        <v>42</v>
      </c>
      <c r="D26" s="20" t="s">
        <v>9</v>
      </c>
      <c r="E26" s="20" t="s">
        <v>10</v>
      </c>
      <c r="F26" s="20" t="s">
        <v>11</v>
      </c>
      <c r="G26" s="20" t="s">
        <v>12</v>
      </c>
      <c r="H26" s="20" t="s">
        <v>13</v>
      </c>
      <c r="I26" s="20" t="s">
        <v>14</v>
      </c>
      <c r="J26" s="20" t="s">
        <v>15</v>
      </c>
      <c r="K26" s="73"/>
    </row>
    <row r="27" spans="1:11" s="21" customFormat="1" ht="15" x14ac:dyDescent="0.25">
      <c r="A27" s="79" t="s">
        <v>43</v>
      </c>
      <c r="B27" s="80" t="s">
        <v>17</v>
      </c>
      <c r="C27" s="81" t="s">
        <v>44</v>
      </c>
      <c r="D27" s="69" t="s">
        <v>20</v>
      </c>
      <c r="E27" s="69" t="s">
        <v>20</v>
      </c>
      <c r="F27" s="69" t="s">
        <v>20</v>
      </c>
      <c r="G27" s="69">
        <v>0</v>
      </c>
      <c r="H27" s="69" t="s">
        <v>20</v>
      </c>
      <c r="I27" s="69" t="s">
        <v>20</v>
      </c>
      <c r="J27" s="69" t="s">
        <v>20</v>
      </c>
      <c r="K27" s="69">
        <v>0</v>
      </c>
    </row>
    <row r="28" spans="1:11" s="21" customFormat="1" ht="15" x14ac:dyDescent="0.2">
      <c r="A28" s="19" t="s">
        <v>43</v>
      </c>
      <c r="B28" s="83"/>
      <c r="C28" s="84" t="s">
        <v>45</v>
      </c>
      <c r="D28" s="70">
        <f>SUM(D27)</f>
        <v>0</v>
      </c>
      <c r="E28" s="70">
        <f t="shared" ref="E28:J28" si="4">SUM(E27)</f>
        <v>0</v>
      </c>
      <c r="F28" s="70">
        <f t="shared" si="4"/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v>0</v>
      </c>
    </row>
    <row r="29" spans="1:11" s="21" customFormat="1" ht="8.25" customHeight="1" x14ac:dyDescent="0.2">
      <c r="C29" s="85"/>
    </row>
    <row r="30" spans="1:11" s="21" customFormat="1" hidden="1" x14ac:dyDescent="0.2">
      <c r="A30" s="74"/>
      <c r="B30" s="75"/>
      <c r="C30" s="76"/>
      <c r="D30" s="19" t="s">
        <v>1</v>
      </c>
      <c r="E30" s="19" t="s">
        <v>2</v>
      </c>
      <c r="F30" s="19" t="s">
        <v>3</v>
      </c>
      <c r="G30" s="19" t="s">
        <v>4</v>
      </c>
      <c r="H30" s="19" t="s">
        <v>5</v>
      </c>
      <c r="I30" s="19" t="s">
        <v>6</v>
      </c>
      <c r="J30" s="19" t="s">
        <v>7</v>
      </c>
      <c r="K30" s="72"/>
    </row>
    <row r="31" spans="1:11" s="21" customFormat="1" ht="28.5" x14ac:dyDescent="0.2">
      <c r="A31" s="74"/>
      <c r="B31" s="77" t="s">
        <v>46</v>
      </c>
      <c r="C31" s="78" t="s">
        <v>47</v>
      </c>
      <c r="D31" s="20" t="s">
        <v>9</v>
      </c>
      <c r="E31" s="20" t="s">
        <v>10</v>
      </c>
      <c r="F31" s="20" t="s">
        <v>11</v>
      </c>
      <c r="G31" s="20" t="s">
        <v>12</v>
      </c>
      <c r="H31" s="20" t="s">
        <v>13</v>
      </c>
      <c r="I31" s="20" t="s">
        <v>14</v>
      </c>
      <c r="J31" s="20" t="s">
        <v>15</v>
      </c>
      <c r="K31" s="73"/>
    </row>
    <row r="32" spans="1:11" s="21" customFormat="1" ht="15" x14ac:dyDescent="0.25">
      <c r="A32" s="79" t="s">
        <v>48</v>
      </c>
      <c r="B32" s="80" t="s">
        <v>21</v>
      </c>
      <c r="C32" s="81" t="s">
        <v>49</v>
      </c>
      <c r="D32" s="69" t="s">
        <v>20</v>
      </c>
      <c r="E32" s="69" t="s">
        <v>20</v>
      </c>
      <c r="F32" s="69" t="s">
        <v>20</v>
      </c>
      <c r="G32" s="69">
        <v>0</v>
      </c>
      <c r="H32" s="69" t="s">
        <v>20</v>
      </c>
      <c r="I32" s="69" t="s">
        <v>20</v>
      </c>
      <c r="J32" s="69" t="s">
        <v>20</v>
      </c>
      <c r="K32" s="69">
        <f>D32+E32+F32+G32+H32+I32+J32</f>
        <v>0</v>
      </c>
    </row>
    <row r="33" spans="1:11" s="21" customFormat="1" ht="15" x14ac:dyDescent="0.25">
      <c r="A33" s="82"/>
      <c r="B33" s="80" t="s">
        <v>23</v>
      </c>
      <c r="C33" s="81" t="s">
        <v>50</v>
      </c>
      <c r="D33" s="69" t="s">
        <v>20</v>
      </c>
      <c r="E33" s="69" t="s">
        <v>20</v>
      </c>
      <c r="F33" s="69">
        <v>13400</v>
      </c>
      <c r="G33" s="69">
        <v>0</v>
      </c>
      <c r="H33" s="69" t="s">
        <v>20</v>
      </c>
      <c r="I33" s="69" t="s">
        <v>20</v>
      </c>
      <c r="J33" s="69" t="s">
        <v>20</v>
      </c>
      <c r="K33" s="69">
        <f>D33+E33+F33+G33+H33+I33+J33</f>
        <v>13400</v>
      </c>
    </row>
    <row r="34" spans="1:11" s="21" customFormat="1" ht="28.5" x14ac:dyDescent="0.2">
      <c r="A34" s="19" t="s">
        <v>48</v>
      </c>
      <c r="B34" s="83"/>
      <c r="C34" s="84" t="s">
        <v>51</v>
      </c>
      <c r="D34" s="70">
        <f>SUM(D32:D33)</f>
        <v>0</v>
      </c>
      <c r="E34" s="70">
        <f t="shared" ref="E34:J34" si="5">SUM(E32:E33)</f>
        <v>0</v>
      </c>
      <c r="F34" s="70">
        <f t="shared" si="5"/>
        <v>13400</v>
      </c>
      <c r="G34" s="70">
        <f t="shared" si="5"/>
        <v>0</v>
      </c>
      <c r="H34" s="70">
        <f t="shared" si="5"/>
        <v>0</v>
      </c>
      <c r="I34" s="70">
        <f t="shared" si="5"/>
        <v>0</v>
      </c>
      <c r="J34" s="70">
        <f t="shared" si="5"/>
        <v>0</v>
      </c>
      <c r="K34" s="70">
        <f>D34+E34+F34+G34+H34+I34+J34</f>
        <v>13400</v>
      </c>
    </row>
    <row r="35" spans="1:11" s="21" customFormat="1" x14ac:dyDescent="0.2">
      <c r="C35" s="85"/>
    </row>
    <row r="36" spans="1:11" s="21" customFormat="1" x14ac:dyDescent="0.2">
      <c r="A36" s="74"/>
      <c r="B36" s="77" t="s">
        <v>33</v>
      </c>
      <c r="C36" s="78" t="s">
        <v>52</v>
      </c>
      <c r="D36" s="20" t="s">
        <v>9</v>
      </c>
      <c r="E36" s="20" t="s">
        <v>10</v>
      </c>
      <c r="F36" s="20" t="s">
        <v>11</v>
      </c>
      <c r="G36" s="20" t="s">
        <v>12</v>
      </c>
      <c r="H36" s="20" t="s">
        <v>13</v>
      </c>
      <c r="I36" s="20" t="s">
        <v>14</v>
      </c>
      <c r="J36" s="20" t="s">
        <v>15</v>
      </c>
      <c r="K36" s="73"/>
    </row>
    <row r="37" spans="1:11" s="21" customFormat="1" ht="15" x14ac:dyDescent="0.25">
      <c r="A37" s="79" t="s">
        <v>53</v>
      </c>
      <c r="B37" s="80" t="s">
        <v>21</v>
      </c>
      <c r="C37" s="81" t="s">
        <v>54</v>
      </c>
      <c r="D37" s="69" t="s">
        <v>20</v>
      </c>
      <c r="E37" s="69" t="s">
        <v>20</v>
      </c>
      <c r="F37" s="69" t="s">
        <v>20</v>
      </c>
      <c r="G37" s="69">
        <v>0</v>
      </c>
      <c r="H37" s="69" t="s">
        <v>20</v>
      </c>
      <c r="I37" s="69" t="s">
        <v>20</v>
      </c>
      <c r="J37" s="69" t="s">
        <v>20</v>
      </c>
      <c r="K37" s="69">
        <f>D37+E37+F37+G37+H37+I37+J37</f>
        <v>0</v>
      </c>
    </row>
    <row r="38" spans="1:11" s="21" customFormat="1" ht="15" x14ac:dyDescent="0.2">
      <c r="A38" s="19" t="s">
        <v>53</v>
      </c>
      <c r="B38" s="83"/>
      <c r="C38" s="84" t="s">
        <v>55</v>
      </c>
      <c r="D38" s="70">
        <f>SUM(D37)</f>
        <v>0</v>
      </c>
      <c r="E38" s="70">
        <f t="shared" ref="E38:J38" si="6">SUM(E37)</f>
        <v>0</v>
      </c>
      <c r="F38" s="70">
        <f t="shared" si="6"/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>D38+E38+F38+G38+H38+I38+J38</f>
        <v>0</v>
      </c>
    </row>
    <row r="39" spans="1:11" s="21" customFormat="1" x14ac:dyDescent="0.2">
      <c r="C39" s="85"/>
    </row>
    <row r="40" spans="1:11" s="21" customFormat="1" x14ac:dyDescent="0.2">
      <c r="A40" s="74"/>
      <c r="B40" s="75"/>
      <c r="C40" s="76"/>
      <c r="D40" s="19" t="s">
        <v>1</v>
      </c>
      <c r="E40" s="19" t="s">
        <v>2</v>
      </c>
      <c r="F40" s="19" t="s">
        <v>3</v>
      </c>
      <c r="G40" s="19" t="s">
        <v>4</v>
      </c>
      <c r="H40" s="19" t="s">
        <v>5</v>
      </c>
      <c r="I40" s="19" t="s">
        <v>6</v>
      </c>
      <c r="J40" s="19" t="s">
        <v>7</v>
      </c>
      <c r="K40" s="72"/>
    </row>
    <row r="41" spans="1:11" s="21" customFormat="1" ht="28.5" x14ac:dyDescent="0.2">
      <c r="A41" s="74"/>
      <c r="B41" s="77" t="s">
        <v>56</v>
      </c>
      <c r="C41" s="78" t="s">
        <v>57</v>
      </c>
      <c r="D41" s="20" t="s">
        <v>9</v>
      </c>
      <c r="E41" s="20" t="s">
        <v>10</v>
      </c>
      <c r="F41" s="20" t="s">
        <v>11</v>
      </c>
      <c r="G41" s="20" t="s">
        <v>12</v>
      </c>
      <c r="H41" s="20" t="s">
        <v>13</v>
      </c>
      <c r="I41" s="20" t="s">
        <v>14</v>
      </c>
      <c r="J41" s="20" t="s">
        <v>15</v>
      </c>
      <c r="K41" s="73"/>
    </row>
    <row r="42" spans="1:11" s="21" customFormat="1" ht="28.5" x14ac:dyDescent="0.2">
      <c r="A42" s="74"/>
      <c r="B42" s="80" t="s">
        <v>41</v>
      </c>
      <c r="C42" s="81" t="s">
        <v>257</v>
      </c>
      <c r="D42" s="69" t="s">
        <v>20</v>
      </c>
      <c r="E42" s="69" t="s">
        <v>20</v>
      </c>
      <c r="F42" s="69" t="s">
        <v>20</v>
      </c>
      <c r="G42" s="69">
        <v>11500</v>
      </c>
      <c r="H42" s="69" t="s">
        <v>20</v>
      </c>
      <c r="I42" s="69" t="s">
        <v>20</v>
      </c>
      <c r="J42" s="69" t="s">
        <v>20</v>
      </c>
      <c r="K42" s="69">
        <f>D42+E42+F42+G42+H42+I42+J42</f>
        <v>11500</v>
      </c>
    </row>
    <row r="43" spans="1:11" s="21" customFormat="1" ht="28.5" x14ac:dyDescent="0.25">
      <c r="A43" s="79" t="s">
        <v>58</v>
      </c>
      <c r="B43" s="80" t="s">
        <v>31</v>
      </c>
      <c r="C43" s="81" t="s">
        <v>59</v>
      </c>
      <c r="D43" s="69" t="s">
        <v>20</v>
      </c>
      <c r="E43" s="69" t="s">
        <v>20</v>
      </c>
      <c r="F43" s="69" t="s">
        <v>20</v>
      </c>
      <c r="G43" s="69">
        <f>11500-11500</f>
        <v>0</v>
      </c>
      <c r="H43" s="69" t="s">
        <v>20</v>
      </c>
      <c r="I43" s="69" t="s">
        <v>20</v>
      </c>
      <c r="J43" s="69" t="s">
        <v>20</v>
      </c>
      <c r="K43" s="69">
        <f>D43+E43+F43+G43+H43+I43+J43</f>
        <v>0</v>
      </c>
    </row>
    <row r="44" spans="1:11" s="21" customFormat="1" ht="28.5" x14ac:dyDescent="0.2">
      <c r="A44" s="19" t="s">
        <v>58</v>
      </c>
      <c r="B44" s="83"/>
      <c r="C44" s="84" t="s">
        <v>60</v>
      </c>
      <c r="D44" s="70">
        <f>SUM(D42:D43)</f>
        <v>0</v>
      </c>
      <c r="E44" s="70">
        <f t="shared" ref="E44:K44" si="7">SUM(E42:E43)</f>
        <v>0</v>
      </c>
      <c r="F44" s="70">
        <f t="shared" si="7"/>
        <v>0</v>
      </c>
      <c r="G44" s="70">
        <f t="shared" si="7"/>
        <v>11500</v>
      </c>
      <c r="H44" s="70">
        <f t="shared" si="7"/>
        <v>0</v>
      </c>
      <c r="I44" s="70">
        <f t="shared" si="7"/>
        <v>0</v>
      </c>
      <c r="J44" s="70">
        <f t="shared" si="7"/>
        <v>0</v>
      </c>
      <c r="K44" s="70">
        <f t="shared" si="7"/>
        <v>11500</v>
      </c>
    </row>
    <row r="45" spans="1:11" s="21" customFormat="1" x14ac:dyDescent="0.2">
      <c r="C45" s="85"/>
    </row>
    <row r="46" spans="1:11" s="21" customFormat="1" x14ac:dyDescent="0.2">
      <c r="A46" s="74"/>
      <c r="B46" s="75"/>
      <c r="C46" s="76"/>
      <c r="D46" s="19" t="s">
        <v>1</v>
      </c>
      <c r="E46" s="19" t="s">
        <v>2</v>
      </c>
      <c r="F46" s="19" t="s">
        <v>3</v>
      </c>
      <c r="G46" s="19" t="s">
        <v>4</v>
      </c>
      <c r="H46" s="19" t="s">
        <v>5</v>
      </c>
      <c r="I46" s="19" t="s">
        <v>6</v>
      </c>
      <c r="J46" s="19" t="s">
        <v>7</v>
      </c>
      <c r="K46" s="72"/>
    </row>
    <row r="47" spans="1:11" s="21" customFormat="1" ht="28.5" x14ac:dyDescent="0.2">
      <c r="A47" s="74"/>
      <c r="B47" s="77" t="s">
        <v>61</v>
      </c>
      <c r="C47" s="78" t="s">
        <v>62</v>
      </c>
      <c r="D47" s="20" t="s">
        <v>9</v>
      </c>
      <c r="E47" s="20" t="s">
        <v>10</v>
      </c>
      <c r="F47" s="20" t="s">
        <v>11</v>
      </c>
      <c r="G47" s="20" t="s">
        <v>12</v>
      </c>
      <c r="H47" s="20" t="s">
        <v>13</v>
      </c>
      <c r="I47" s="20" t="s">
        <v>14</v>
      </c>
      <c r="J47" s="20" t="s">
        <v>15</v>
      </c>
      <c r="K47" s="73"/>
    </row>
    <row r="48" spans="1:11" s="21" customFormat="1" ht="28.5" x14ac:dyDescent="0.25">
      <c r="A48" s="79" t="s">
        <v>63</v>
      </c>
      <c r="B48" s="80" t="s">
        <v>21</v>
      </c>
      <c r="C48" s="81" t="s">
        <v>64</v>
      </c>
      <c r="D48" s="69" t="s">
        <v>20</v>
      </c>
      <c r="E48" s="69" t="s">
        <v>20</v>
      </c>
      <c r="F48" s="69" t="s">
        <v>20</v>
      </c>
      <c r="G48" s="69">
        <v>0</v>
      </c>
      <c r="H48" s="69" t="s">
        <v>20</v>
      </c>
      <c r="I48" s="69" t="s">
        <v>20</v>
      </c>
      <c r="J48" s="69" t="s">
        <v>20</v>
      </c>
      <c r="K48" s="69">
        <f>D48+E48+F48+G48+H48+I48+J48</f>
        <v>0</v>
      </c>
    </row>
    <row r="49" spans="1:12" s="21" customFormat="1" ht="15" x14ac:dyDescent="0.25">
      <c r="A49" s="82"/>
      <c r="B49" s="80" t="s">
        <v>23</v>
      </c>
      <c r="C49" s="81" t="s">
        <v>65</v>
      </c>
      <c r="D49" s="69" t="s">
        <v>20</v>
      </c>
      <c r="E49" s="69" t="s">
        <v>20</v>
      </c>
      <c r="F49" s="69">
        <v>0</v>
      </c>
      <c r="G49" s="69">
        <f>150000-4000</f>
        <v>146000</v>
      </c>
      <c r="H49" s="69" t="s">
        <v>20</v>
      </c>
      <c r="I49" s="69" t="s">
        <v>20</v>
      </c>
      <c r="J49" s="69" t="s">
        <v>20</v>
      </c>
      <c r="K49" s="69">
        <f>D49+E49+F49+G49+H49+I49+J49</f>
        <v>146000</v>
      </c>
    </row>
    <row r="50" spans="1:12" s="21" customFormat="1" ht="28.5" x14ac:dyDescent="0.2">
      <c r="A50" s="19" t="s">
        <v>63</v>
      </c>
      <c r="B50" s="83"/>
      <c r="C50" s="84" t="s">
        <v>66</v>
      </c>
      <c r="D50" s="70">
        <f>SUM(D48:D49)</f>
        <v>0</v>
      </c>
      <c r="E50" s="70">
        <f t="shared" ref="E50:J50" si="8">SUM(E48:E49)</f>
        <v>0</v>
      </c>
      <c r="F50" s="70">
        <f t="shared" si="8"/>
        <v>0</v>
      </c>
      <c r="G50" s="70">
        <f t="shared" si="8"/>
        <v>146000</v>
      </c>
      <c r="H50" s="70">
        <f t="shared" si="8"/>
        <v>0</v>
      </c>
      <c r="I50" s="70">
        <f t="shared" si="8"/>
        <v>0</v>
      </c>
      <c r="J50" s="70">
        <f t="shared" si="8"/>
        <v>0</v>
      </c>
      <c r="K50" s="70">
        <f>D50+E50+F50+G50+H50+I50+J50</f>
        <v>146000</v>
      </c>
    </row>
    <row r="51" spans="1:12" s="21" customFormat="1" x14ac:dyDescent="0.2">
      <c r="C51" s="85"/>
    </row>
    <row r="52" spans="1:12" s="21" customFormat="1" ht="28.5" x14ac:dyDescent="0.2">
      <c r="B52" s="77" t="s">
        <v>211</v>
      </c>
      <c r="C52" s="78" t="s">
        <v>212</v>
      </c>
      <c r="D52" s="20" t="s">
        <v>9</v>
      </c>
      <c r="E52" s="20" t="s">
        <v>10</v>
      </c>
      <c r="F52" s="20" t="s">
        <v>11</v>
      </c>
      <c r="G52" s="20" t="s">
        <v>12</v>
      </c>
      <c r="H52" s="20" t="s">
        <v>13</v>
      </c>
      <c r="I52" s="20" t="s">
        <v>14</v>
      </c>
      <c r="J52" s="20" t="s">
        <v>15</v>
      </c>
      <c r="K52" s="73"/>
    </row>
    <row r="53" spans="1:12" s="21" customFormat="1" x14ac:dyDescent="0.2">
      <c r="B53" s="80" t="s">
        <v>21</v>
      </c>
      <c r="C53" s="81" t="s">
        <v>213</v>
      </c>
      <c r="D53" s="69" t="s">
        <v>20</v>
      </c>
      <c r="E53" s="69" t="s">
        <v>20</v>
      </c>
      <c r="F53" s="69" t="s">
        <v>20</v>
      </c>
      <c r="G53" s="69">
        <v>100000</v>
      </c>
      <c r="H53" s="69" t="s">
        <v>20</v>
      </c>
      <c r="I53" s="69" t="s">
        <v>20</v>
      </c>
      <c r="J53" s="69" t="s">
        <v>20</v>
      </c>
      <c r="K53" s="69">
        <f>D53+E53+F53+G53+H53+I53+J53</f>
        <v>100000</v>
      </c>
    </row>
    <row r="54" spans="1:12" s="21" customFormat="1" ht="28.5" x14ac:dyDescent="0.2">
      <c r="B54" s="83"/>
      <c r="C54" s="84" t="s">
        <v>214</v>
      </c>
      <c r="D54" s="70">
        <f t="shared" ref="D54:J54" si="9">SUM(D52:D53)</f>
        <v>0</v>
      </c>
      <c r="E54" s="70">
        <f t="shared" si="9"/>
        <v>0</v>
      </c>
      <c r="F54" s="70">
        <f t="shared" si="9"/>
        <v>0</v>
      </c>
      <c r="G54" s="70">
        <f t="shared" si="9"/>
        <v>100000</v>
      </c>
      <c r="H54" s="70">
        <f t="shared" si="9"/>
        <v>0</v>
      </c>
      <c r="I54" s="70">
        <f t="shared" si="9"/>
        <v>0</v>
      </c>
      <c r="J54" s="70">
        <f t="shared" si="9"/>
        <v>0</v>
      </c>
      <c r="K54" s="70">
        <f>D54+E54+F54+G54+H54+I54+J54</f>
        <v>100000</v>
      </c>
    </row>
    <row r="55" spans="1:12" s="21" customFormat="1" x14ac:dyDescent="0.2">
      <c r="C55" s="85"/>
    </row>
    <row r="56" spans="1:12" s="21" customFormat="1" ht="28.5" x14ac:dyDescent="0.2">
      <c r="A56" s="74"/>
      <c r="B56" s="77" t="s">
        <v>67</v>
      </c>
      <c r="C56" s="78" t="s">
        <v>68</v>
      </c>
      <c r="D56" s="20" t="s">
        <v>9</v>
      </c>
      <c r="E56" s="20" t="s">
        <v>10</v>
      </c>
      <c r="F56" s="20" t="s">
        <v>11</v>
      </c>
      <c r="G56" s="20" t="s">
        <v>12</v>
      </c>
      <c r="H56" s="20" t="s">
        <v>13</v>
      </c>
      <c r="I56" s="20" t="s">
        <v>14</v>
      </c>
      <c r="J56" s="20" t="s">
        <v>15</v>
      </c>
      <c r="K56" s="73"/>
      <c r="L56" s="21" t="s">
        <v>88</v>
      </c>
    </row>
    <row r="57" spans="1:12" s="21" customFormat="1" ht="28.5" x14ac:dyDescent="0.2">
      <c r="A57" s="74"/>
      <c r="B57" s="80" t="s">
        <v>17</v>
      </c>
      <c r="C57" s="81" t="s">
        <v>258</v>
      </c>
      <c r="D57" s="69" t="s">
        <v>20</v>
      </c>
      <c r="E57" s="69" t="s">
        <v>20</v>
      </c>
      <c r="F57" s="69" t="s">
        <v>20</v>
      </c>
      <c r="G57" s="69">
        <v>62000</v>
      </c>
      <c r="H57" s="69" t="s">
        <v>20</v>
      </c>
      <c r="I57" s="69" t="s">
        <v>20</v>
      </c>
      <c r="J57" s="69" t="s">
        <v>20</v>
      </c>
      <c r="K57" s="69">
        <f>D57+E57+F57+G57+H57+I57+J57</f>
        <v>62000</v>
      </c>
    </row>
    <row r="58" spans="1:12" s="21" customFormat="1" ht="42.75" x14ac:dyDescent="0.25">
      <c r="A58" s="79" t="s">
        <v>69</v>
      </c>
      <c r="B58" s="80" t="s">
        <v>21</v>
      </c>
      <c r="C58" s="81" t="s">
        <v>70</v>
      </c>
      <c r="D58" s="69" t="s">
        <v>20</v>
      </c>
      <c r="E58" s="69" t="s">
        <v>20</v>
      </c>
      <c r="F58" s="69" t="s">
        <v>20</v>
      </c>
      <c r="G58" s="69">
        <f>62000-62000</f>
        <v>0</v>
      </c>
      <c r="H58" s="69" t="s">
        <v>20</v>
      </c>
      <c r="I58" s="69" t="s">
        <v>20</v>
      </c>
      <c r="J58" s="69" t="s">
        <v>20</v>
      </c>
      <c r="K58" s="69">
        <f>D58+E58+F58+G58+H58+I58+J58</f>
        <v>0</v>
      </c>
    </row>
    <row r="59" spans="1:12" s="21" customFormat="1" ht="28.5" x14ac:dyDescent="0.2">
      <c r="A59" s="19" t="s">
        <v>69</v>
      </c>
      <c r="B59" s="83"/>
      <c r="C59" s="84" t="s">
        <v>71</v>
      </c>
      <c r="D59" s="70">
        <f>SUM(D57:D58)</f>
        <v>0</v>
      </c>
      <c r="E59" s="70">
        <f t="shared" ref="E59:K59" si="10">SUM(E57:E58)</f>
        <v>0</v>
      </c>
      <c r="F59" s="70">
        <f t="shared" si="10"/>
        <v>0</v>
      </c>
      <c r="G59" s="70">
        <f t="shared" si="10"/>
        <v>62000</v>
      </c>
      <c r="H59" s="70">
        <f t="shared" si="10"/>
        <v>0</v>
      </c>
      <c r="I59" s="70">
        <f t="shared" si="10"/>
        <v>0</v>
      </c>
      <c r="J59" s="70">
        <f t="shared" si="10"/>
        <v>0</v>
      </c>
      <c r="K59" s="70">
        <f t="shared" si="10"/>
        <v>62000</v>
      </c>
    </row>
    <row r="60" spans="1:12" s="21" customFormat="1" x14ac:dyDescent="0.2">
      <c r="C60" s="85"/>
    </row>
    <row r="61" spans="1:12" s="21" customFormat="1" x14ac:dyDescent="0.2">
      <c r="A61" s="74"/>
      <c r="B61" s="75"/>
      <c r="C61" s="76"/>
      <c r="D61" s="19" t="s">
        <v>1</v>
      </c>
      <c r="E61" s="19" t="s">
        <v>2</v>
      </c>
      <c r="F61" s="19" t="s">
        <v>3</v>
      </c>
      <c r="G61" s="19" t="s">
        <v>4</v>
      </c>
      <c r="H61" s="19" t="s">
        <v>5</v>
      </c>
      <c r="I61" s="19" t="s">
        <v>6</v>
      </c>
      <c r="J61" s="19" t="s">
        <v>7</v>
      </c>
      <c r="K61" s="72"/>
    </row>
    <row r="62" spans="1:12" s="21" customFormat="1" x14ac:dyDescent="0.2">
      <c r="A62" s="74"/>
      <c r="B62" s="77" t="s">
        <v>72</v>
      </c>
      <c r="C62" s="78" t="s">
        <v>73</v>
      </c>
      <c r="D62" s="20" t="s">
        <v>9</v>
      </c>
      <c r="E62" s="20" t="s">
        <v>10</v>
      </c>
      <c r="F62" s="20" t="s">
        <v>11</v>
      </c>
      <c r="G62" s="20" t="s">
        <v>12</v>
      </c>
      <c r="H62" s="20" t="s">
        <v>13</v>
      </c>
      <c r="I62" s="20" t="s">
        <v>14</v>
      </c>
      <c r="J62" s="20" t="s">
        <v>15</v>
      </c>
      <c r="K62" s="73"/>
    </row>
    <row r="63" spans="1:12" s="21" customFormat="1" ht="15" x14ac:dyDescent="0.25">
      <c r="A63" s="79" t="s">
        <v>74</v>
      </c>
      <c r="B63" s="80" t="s">
        <v>17</v>
      </c>
      <c r="C63" s="81" t="s">
        <v>75</v>
      </c>
      <c r="D63" s="69" t="s">
        <v>20</v>
      </c>
      <c r="E63" s="69" t="s">
        <v>20</v>
      </c>
      <c r="F63" s="69" t="s">
        <v>20</v>
      </c>
      <c r="G63" s="69" t="s">
        <v>20</v>
      </c>
      <c r="H63" s="69" t="s">
        <v>20</v>
      </c>
      <c r="I63" s="69" t="s">
        <v>20</v>
      </c>
      <c r="J63" s="69">
        <v>62300</v>
      </c>
      <c r="K63" s="69">
        <f>D63+E63+F63+G63+H63+I63+J63</f>
        <v>62300</v>
      </c>
    </row>
    <row r="64" spans="1:12" s="21" customFormat="1" ht="15" x14ac:dyDescent="0.25">
      <c r="A64" s="82"/>
      <c r="B64" s="80" t="s">
        <v>21</v>
      </c>
      <c r="C64" s="81" t="s">
        <v>76</v>
      </c>
      <c r="D64" s="69" t="s">
        <v>20</v>
      </c>
      <c r="E64" s="69" t="s">
        <v>20</v>
      </c>
      <c r="F64" s="69" t="s">
        <v>20</v>
      </c>
      <c r="G64" s="69" t="s">
        <v>20</v>
      </c>
      <c r="H64" s="69" t="s">
        <v>20</v>
      </c>
      <c r="I64" s="69" t="s">
        <v>20</v>
      </c>
      <c r="J64" s="69">
        <f>100000-100000</f>
        <v>0</v>
      </c>
      <c r="K64" s="69">
        <f>D64+E64+F64+G64+H64+I64+J64</f>
        <v>0</v>
      </c>
    </row>
    <row r="65" spans="1:11" s="21" customFormat="1" ht="15" x14ac:dyDescent="0.25">
      <c r="A65" s="82"/>
      <c r="B65" s="80" t="s">
        <v>23</v>
      </c>
      <c r="C65" s="81" t="s">
        <v>77</v>
      </c>
      <c r="D65" s="69" t="s">
        <v>20</v>
      </c>
      <c r="E65" s="69" t="s">
        <v>20</v>
      </c>
      <c r="F65" s="69" t="s">
        <v>20</v>
      </c>
      <c r="G65" s="69" t="s">
        <v>20</v>
      </c>
      <c r="H65" s="69" t="s">
        <v>20</v>
      </c>
      <c r="I65" s="69" t="s">
        <v>20</v>
      </c>
      <c r="J65" s="69">
        <v>0</v>
      </c>
      <c r="K65" s="69">
        <f>D65+E65+F65+G65+H65+I65+J65</f>
        <v>0</v>
      </c>
    </row>
    <row r="66" spans="1:11" s="21" customFormat="1" ht="28.5" x14ac:dyDescent="0.2">
      <c r="A66" s="19" t="s">
        <v>74</v>
      </c>
      <c r="B66" s="83"/>
      <c r="C66" s="84" t="s">
        <v>78</v>
      </c>
      <c r="D66" s="70">
        <f>SUM(D63:D65)</f>
        <v>0</v>
      </c>
      <c r="E66" s="70">
        <f t="shared" ref="E66:J66" si="11">SUM(E63:E65)</f>
        <v>0</v>
      </c>
      <c r="F66" s="70">
        <f t="shared" si="11"/>
        <v>0</v>
      </c>
      <c r="G66" s="70">
        <f t="shared" si="11"/>
        <v>0</v>
      </c>
      <c r="H66" s="70">
        <f t="shared" si="11"/>
        <v>0</v>
      </c>
      <c r="I66" s="70">
        <f t="shared" si="11"/>
        <v>0</v>
      </c>
      <c r="J66" s="70">
        <f t="shared" si="11"/>
        <v>62300</v>
      </c>
      <c r="K66" s="70">
        <f>D66+E66+F66+G66+H66+I66+J66</f>
        <v>62300</v>
      </c>
    </row>
    <row r="67" spans="1:11" s="21" customFormat="1" x14ac:dyDescent="0.2">
      <c r="C67" s="85"/>
    </row>
    <row r="68" spans="1:11" s="21" customFormat="1" ht="15" x14ac:dyDescent="0.2">
      <c r="A68" s="88"/>
      <c r="B68" s="89"/>
      <c r="C68" s="90"/>
      <c r="D68" s="23"/>
      <c r="E68" s="23"/>
      <c r="F68" s="23"/>
      <c r="G68" s="23"/>
      <c r="H68" s="23"/>
      <c r="I68" s="23"/>
      <c r="J68" s="23"/>
      <c r="K68" s="23"/>
    </row>
    <row r="69" spans="1:11" s="21" customFormat="1" ht="15" x14ac:dyDescent="0.2">
      <c r="A69" s="88"/>
      <c r="B69" s="268" t="s">
        <v>79</v>
      </c>
      <c r="C69" s="268"/>
      <c r="D69" s="71">
        <f>D66+D59+D50+D44+D38+D34+D28+D23+D14+D54+D18</f>
        <v>274437.98</v>
      </c>
      <c r="E69" s="71">
        <f t="shared" ref="E69:K69" si="12">E66+E59+E50+E44+E38+E34+E28+E23+E14+E54+E18</f>
        <v>1191897</v>
      </c>
      <c r="F69" s="71">
        <f t="shared" si="12"/>
        <v>18317298.530000001</v>
      </c>
      <c r="G69" s="71">
        <f>G66+G59+G50+G44+G38+G34+G28+G23+G14+G54+G18</f>
        <v>2805115</v>
      </c>
      <c r="H69" s="71">
        <f t="shared" si="12"/>
        <v>500</v>
      </c>
      <c r="I69" s="71">
        <f t="shared" si="12"/>
        <v>79476.070000000007</v>
      </c>
      <c r="J69" s="71">
        <f t="shared" si="12"/>
        <v>144255.5</v>
      </c>
      <c r="K69" s="71">
        <f t="shared" si="12"/>
        <v>22812980.080000002</v>
      </c>
    </row>
  </sheetData>
  <mergeCells count="3">
    <mergeCell ref="B2:C3"/>
    <mergeCell ref="B69:C69"/>
    <mergeCell ref="A1:K1"/>
  </mergeCells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  <rowBreaks count="1" manualBreakCount="1">
    <brk id="38" max="10" man="1"/>
  </rowBreaks>
  <ignoredErrors>
    <ignoredError sqref="H6: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L45"/>
  <sheetViews>
    <sheetView zoomScale="90" zoomScaleNormal="90" workbookViewId="0">
      <selection activeCell="N22" sqref="N22"/>
    </sheetView>
  </sheetViews>
  <sheetFormatPr defaultRowHeight="12.75" x14ac:dyDescent="0.2"/>
  <cols>
    <col min="1" max="1" width="5.7109375" style="116" customWidth="1"/>
    <col min="2" max="2" width="6.140625" style="116" customWidth="1"/>
    <col min="3" max="3" width="67.42578125" style="117" customWidth="1"/>
    <col min="4" max="4" width="26.85546875" style="116" customWidth="1"/>
    <col min="5" max="5" width="19.140625" style="116" customWidth="1"/>
    <col min="6" max="6" width="16.42578125" style="116" customWidth="1"/>
    <col min="7" max="7" width="22.7109375" style="116" customWidth="1"/>
    <col min="8" max="8" width="14.7109375" style="116" customWidth="1"/>
    <col min="9" max="9" width="15.42578125" style="116" customWidth="1"/>
    <col min="10" max="10" width="16.5703125" style="116" customWidth="1"/>
    <col min="11" max="11" width="16.140625" style="116" customWidth="1"/>
    <col min="12" max="12" width="17.7109375" style="116" customWidth="1"/>
    <col min="13" max="16384" width="9.140625" style="116"/>
  </cols>
  <sheetData>
    <row r="1" spans="2:12" s="93" customFormat="1" ht="65.25" customHeight="1" x14ac:dyDescent="0.15">
      <c r="B1" s="276" t="s">
        <v>230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</row>
    <row r="2" spans="2:12" s="93" customFormat="1" ht="5.25" customHeight="1" x14ac:dyDescent="0.15">
      <c r="C2" s="94"/>
    </row>
    <row r="3" spans="2:12" s="96" customFormat="1" ht="75" customHeight="1" x14ac:dyDescent="0.2">
      <c r="B3" s="270" t="s">
        <v>0</v>
      </c>
      <c r="C3" s="271"/>
      <c r="D3" s="95" t="s">
        <v>81</v>
      </c>
      <c r="E3" s="95" t="s">
        <v>82</v>
      </c>
      <c r="F3" s="95" t="s">
        <v>83</v>
      </c>
      <c r="G3" s="95" t="s">
        <v>84</v>
      </c>
      <c r="H3" s="95" t="s">
        <v>215</v>
      </c>
      <c r="I3" s="95" t="s">
        <v>224</v>
      </c>
      <c r="J3" s="95" t="s">
        <v>225</v>
      </c>
      <c r="K3" s="95" t="s">
        <v>226</v>
      </c>
      <c r="L3" s="95" t="s">
        <v>227</v>
      </c>
    </row>
    <row r="4" spans="2:12" s="96" customFormat="1" ht="36.75" customHeight="1" x14ac:dyDescent="0.2">
      <c r="B4" s="272"/>
      <c r="C4" s="273"/>
      <c r="D4" s="97" t="s">
        <v>85</v>
      </c>
      <c r="E4" s="97" t="s">
        <v>86</v>
      </c>
      <c r="F4" s="97" t="s">
        <v>87</v>
      </c>
      <c r="G4" s="97" t="s">
        <v>80</v>
      </c>
      <c r="H4" s="97" t="s">
        <v>216</v>
      </c>
      <c r="I4" s="97" t="s">
        <v>218</v>
      </c>
      <c r="J4" s="97" t="s">
        <v>219</v>
      </c>
      <c r="K4" s="97" t="s">
        <v>220</v>
      </c>
      <c r="L4" s="97" t="s">
        <v>221</v>
      </c>
    </row>
    <row r="5" spans="2:12" s="96" customFormat="1" ht="14.25" x14ac:dyDescent="0.2">
      <c r="B5" s="98"/>
      <c r="C5" s="99"/>
      <c r="D5" s="100" t="s">
        <v>80</v>
      </c>
      <c r="E5" s="101"/>
      <c r="F5" s="101"/>
      <c r="G5" s="102"/>
      <c r="H5" s="102"/>
      <c r="I5" s="102"/>
      <c r="J5" s="102"/>
      <c r="K5" s="102"/>
      <c r="L5" s="102"/>
    </row>
    <row r="6" spans="2:12" s="96" customFormat="1" ht="14.25" x14ac:dyDescent="0.2">
      <c r="B6" s="103" t="s">
        <v>17</v>
      </c>
      <c r="C6" s="104" t="s">
        <v>18</v>
      </c>
      <c r="D6" s="105" t="s">
        <v>85</v>
      </c>
      <c r="E6" s="105" t="s">
        <v>86</v>
      </c>
      <c r="F6" s="105" t="s">
        <v>87</v>
      </c>
      <c r="G6" s="106"/>
      <c r="H6" s="106"/>
      <c r="I6" s="106"/>
      <c r="J6" s="106"/>
      <c r="K6" s="106"/>
      <c r="L6" s="106"/>
    </row>
    <row r="7" spans="2:12" s="96" customFormat="1" ht="14.25" x14ac:dyDescent="0.2">
      <c r="B7" s="107" t="s">
        <v>23</v>
      </c>
      <c r="C7" s="108" t="s">
        <v>24</v>
      </c>
      <c r="D7" s="109">
        <f>36500+15921.9</f>
        <v>52421.9</v>
      </c>
      <c r="E7" s="109" t="s">
        <v>20</v>
      </c>
      <c r="F7" s="109" t="s">
        <v>20</v>
      </c>
      <c r="G7" s="110">
        <f>D7+E7+F7</f>
        <v>52421.9</v>
      </c>
      <c r="H7" s="110">
        <v>0</v>
      </c>
      <c r="I7" s="110">
        <v>0</v>
      </c>
      <c r="J7" s="110">
        <v>0</v>
      </c>
      <c r="K7" s="110">
        <v>0</v>
      </c>
      <c r="L7" s="110">
        <f t="shared" ref="L7:L12" si="0">K7+J7+I7+H7</f>
        <v>0</v>
      </c>
    </row>
    <row r="8" spans="2:12" s="96" customFormat="1" ht="14.25" x14ac:dyDescent="0.2">
      <c r="B8" s="107" t="s">
        <v>25</v>
      </c>
      <c r="C8" s="108" t="s">
        <v>26</v>
      </c>
      <c r="D8" s="109">
        <v>0</v>
      </c>
      <c r="E8" s="109">
        <v>0</v>
      </c>
      <c r="F8" s="109">
        <v>0</v>
      </c>
      <c r="G8" s="110">
        <f>D8+E8+F8</f>
        <v>0</v>
      </c>
      <c r="H8" s="109">
        <v>0</v>
      </c>
      <c r="I8" s="109">
        <v>0</v>
      </c>
      <c r="J8" s="109">
        <v>0</v>
      </c>
      <c r="K8" s="109">
        <v>0</v>
      </c>
      <c r="L8" s="110">
        <f t="shared" si="0"/>
        <v>0</v>
      </c>
    </row>
    <row r="9" spans="2:12" s="96" customFormat="1" ht="14.25" x14ac:dyDescent="0.2">
      <c r="B9" s="107" t="s">
        <v>27</v>
      </c>
      <c r="C9" s="108" t="s">
        <v>28</v>
      </c>
      <c r="D9" s="109">
        <f>869489.72+2619.26-45032.7</f>
        <v>827076.28</v>
      </c>
      <c r="E9" s="109" t="s">
        <v>20</v>
      </c>
      <c r="F9" s="109">
        <v>0</v>
      </c>
      <c r="G9" s="110">
        <f>D9+E9+F9</f>
        <v>827076.28</v>
      </c>
      <c r="H9" s="110">
        <v>0</v>
      </c>
      <c r="I9" s="110">
        <v>0</v>
      </c>
      <c r="J9" s="110">
        <v>0</v>
      </c>
      <c r="K9" s="110">
        <v>0</v>
      </c>
      <c r="L9" s="110">
        <f t="shared" si="0"/>
        <v>0</v>
      </c>
    </row>
    <row r="10" spans="2:12" s="96" customFormat="1" ht="14.25" x14ac:dyDescent="0.2">
      <c r="B10" s="107" t="s">
        <v>29</v>
      </c>
      <c r="C10" s="108" t="s">
        <v>30</v>
      </c>
      <c r="D10" s="109">
        <f>1085156+7588.4+352353.98+193331.19</f>
        <v>1638429.5699999998</v>
      </c>
      <c r="E10" s="109" t="s">
        <v>20</v>
      </c>
      <c r="F10" s="109" t="s">
        <v>20</v>
      </c>
      <c r="G10" s="110">
        <f>D10+E10+F10</f>
        <v>1638429.5699999998</v>
      </c>
      <c r="H10" s="110">
        <v>0</v>
      </c>
      <c r="I10" s="110">
        <v>0</v>
      </c>
      <c r="J10" s="110">
        <v>0</v>
      </c>
      <c r="K10" s="110">
        <v>0</v>
      </c>
      <c r="L10" s="110">
        <f t="shared" si="0"/>
        <v>0</v>
      </c>
    </row>
    <row r="11" spans="2:12" s="96" customFormat="1" ht="14.25" x14ac:dyDescent="0.2">
      <c r="B11" s="107" t="s">
        <v>33</v>
      </c>
      <c r="C11" s="108" t="s">
        <v>34</v>
      </c>
      <c r="D11" s="109">
        <v>0</v>
      </c>
      <c r="E11" s="109" t="s">
        <v>20</v>
      </c>
      <c r="F11" s="109" t="s">
        <v>20</v>
      </c>
      <c r="G11" s="110">
        <f>D11+E11+F11</f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f t="shared" si="0"/>
        <v>0</v>
      </c>
    </row>
    <row r="12" spans="2:12" s="96" customFormat="1" ht="28.5" x14ac:dyDescent="0.2">
      <c r="B12" s="111"/>
      <c r="C12" s="112" t="s">
        <v>35</v>
      </c>
      <c r="D12" s="113">
        <f t="shared" ref="D12:K12" si="1">SUM(D7:D11)</f>
        <v>2517927.75</v>
      </c>
      <c r="E12" s="113">
        <f t="shared" si="1"/>
        <v>0</v>
      </c>
      <c r="F12" s="113">
        <f t="shared" si="1"/>
        <v>0</v>
      </c>
      <c r="G12" s="113">
        <f t="shared" si="1"/>
        <v>2517927.75</v>
      </c>
      <c r="H12" s="113">
        <f t="shared" si="1"/>
        <v>0</v>
      </c>
      <c r="I12" s="113">
        <f t="shared" si="1"/>
        <v>0</v>
      </c>
      <c r="J12" s="113">
        <f t="shared" si="1"/>
        <v>0</v>
      </c>
      <c r="K12" s="113">
        <f t="shared" si="1"/>
        <v>0</v>
      </c>
      <c r="L12" s="113">
        <f t="shared" si="0"/>
        <v>0</v>
      </c>
    </row>
    <row r="13" spans="2:12" s="96" customFormat="1" ht="14.25" x14ac:dyDescent="0.2">
      <c r="C13" s="114"/>
    </row>
    <row r="14" spans="2:12" s="96" customFormat="1" ht="28.5" x14ac:dyDescent="0.2">
      <c r="B14" s="103" t="s">
        <v>25</v>
      </c>
      <c r="C14" s="104" t="s">
        <v>36</v>
      </c>
      <c r="D14" s="105" t="s">
        <v>85</v>
      </c>
      <c r="E14" s="105" t="s">
        <v>86</v>
      </c>
      <c r="F14" s="105" t="s">
        <v>87</v>
      </c>
      <c r="G14" s="106"/>
      <c r="H14" s="106"/>
      <c r="I14" s="106"/>
      <c r="J14" s="106"/>
      <c r="K14" s="106"/>
      <c r="L14" s="106"/>
    </row>
    <row r="15" spans="2:12" s="96" customFormat="1" ht="14.25" x14ac:dyDescent="0.2">
      <c r="B15" s="107" t="s">
        <v>17</v>
      </c>
      <c r="C15" s="108" t="s">
        <v>38</v>
      </c>
      <c r="D15" s="109">
        <v>0</v>
      </c>
      <c r="E15" s="109">
        <v>0</v>
      </c>
      <c r="F15" s="109" t="s">
        <v>20</v>
      </c>
      <c r="G15" s="110">
        <f>D15+E15+F15</f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f>K15+J15+I15+H15</f>
        <v>0</v>
      </c>
    </row>
    <row r="16" spans="2:12" s="96" customFormat="1" ht="14.25" x14ac:dyDescent="0.2">
      <c r="B16" s="107" t="s">
        <v>21</v>
      </c>
      <c r="C16" s="108" t="s">
        <v>39</v>
      </c>
      <c r="D16" s="250">
        <f>75000+2000</f>
        <v>77000</v>
      </c>
      <c r="E16" s="109" t="s">
        <v>20</v>
      </c>
      <c r="F16" s="109" t="s">
        <v>20</v>
      </c>
      <c r="G16" s="110">
        <f>D16+E16+F16</f>
        <v>77000</v>
      </c>
      <c r="H16" s="110">
        <v>0</v>
      </c>
      <c r="I16" s="110">
        <v>0</v>
      </c>
      <c r="J16" s="110">
        <v>0</v>
      </c>
      <c r="K16" s="110">
        <v>0</v>
      </c>
      <c r="L16" s="110">
        <f>K16+J16+I16+H16</f>
        <v>0</v>
      </c>
    </row>
    <row r="17" spans="2:12" s="96" customFormat="1" ht="28.5" x14ac:dyDescent="0.2">
      <c r="B17" s="111"/>
      <c r="C17" s="112" t="s">
        <v>40</v>
      </c>
      <c r="D17" s="113">
        <f t="shared" ref="D17:K17" si="2">SUM(D15:D16)</f>
        <v>77000</v>
      </c>
      <c r="E17" s="113">
        <f t="shared" si="2"/>
        <v>0</v>
      </c>
      <c r="F17" s="113">
        <f t="shared" si="2"/>
        <v>0</v>
      </c>
      <c r="G17" s="113">
        <f t="shared" si="2"/>
        <v>77000</v>
      </c>
      <c r="H17" s="113">
        <f t="shared" si="2"/>
        <v>0</v>
      </c>
      <c r="I17" s="113">
        <f t="shared" si="2"/>
        <v>0</v>
      </c>
      <c r="J17" s="113">
        <f t="shared" si="2"/>
        <v>0</v>
      </c>
      <c r="K17" s="113">
        <f t="shared" si="2"/>
        <v>0</v>
      </c>
      <c r="L17" s="113">
        <f>K17+J17+I17+H17</f>
        <v>0</v>
      </c>
    </row>
    <row r="18" spans="2:12" s="96" customFormat="1" ht="15" x14ac:dyDescent="0.2">
      <c r="B18" s="232"/>
      <c r="C18" s="233"/>
      <c r="D18" s="234" t="s">
        <v>88</v>
      </c>
      <c r="E18" s="234"/>
      <c r="F18" s="234"/>
      <c r="G18" s="234"/>
      <c r="H18" s="234"/>
      <c r="I18" s="234"/>
      <c r="J18" s="234"/>
      <c r="K18" s="234"/>
      <c r="L18" s="234"/>
    </row>
    <row r="19" spans="2:12" s="96" customFormat="1" ht="28.5" x14ac:dyDescent="0.2">
      <c r="B19" s="103" t="s">
        <v>46</v>
      </c>
      <c r="C19" s="104" t="s">
        <v>47</v>
      </c>
      <c r="D19" s="105" t="s">
        <v>85</v>
      </c>
      <c r="E19" s="105" t="s">
        <v>86</v>
      </c>
      <c r="F19" s="105" t="s">
        <v>87</v>
      </c>
      <c r="G19" s="106"/>
      <c r="H19" s="106"/>
      <c r="I19" s="106"/>
      <c r="J19" s="106"/>
      <c r="K19" s="106"/>
      <c r="L19" s="106"/>
    </row>
    <row r="20" spans="2:12" s="96" customFormat="1" ht="14.25" x14ac:dyDescent="0.2">
      <c r="B20" s="107" t="s">
        <v>29</v>
      </c>
      <c r="C20" s="108" t="s">
        <v>253</v>
      </c>
      <c r="D20" s="109">
        <v>0</v>
      </c>
      <c r="E20" s="109">
        <f>550000-28227</f>
        <v>521773</v>
      </c>
      <c r="F20" s="109" t="s">
        <v>20</v>
      </c>
      <c r="G20" s="110">
        <f>D20+E20+F20</f>
        <v>521773</v>
      </c>
      <c r="H20" s="110">
        <v>0</v>
      </c>
      <c r="I20" s="110">
        <v>0</v>
      </c>
      <c r="J20" s="110">
        <v>0</v>
      </c>
      <c r="K20" s="110">
        <v>0</v>
      </c>
      <c r="L20" s="110">
        <f>K20+J20+I20+H20</f>
        <v>0</v>
      </c>
    </row>
    <row r="21" spans="2:12" s="96" customFormat="1" ht="28.5" x14ac:dyDescent="0.2">
      <c r="B21" s="111"/>
      <c r="C21" s="112" t="s">
        <v>51</v>
      </c>
      <c r="D21" s="113">
        <f t="shared" ref="D21:K21" si="3">SUM(D20:D20)</f>
        <v>0</v>
      </c>
      <c r="E21" s="113">
        <f t="shared" si="3"/>
        <v>521773</v>
      </c>
      <c r="F21" s="113">
        <f t="shared" si="3"/>
        <v>0</v>
      </c>
      <c r="G21" s="113">
        <f t="shared" si="3"/>
        <v>521773</v>
      </c>
      <c r="H21" s="113">
        <f t="shared" si="3"/>
        <v>0</v>
      </c>
      <c r="I21" s="113">
        <f t="shared" si="3"/>
        <v>0</v>
      </c>
      <c r="J21" s="113">
        <f t="shared" si="3"/>
        <v>0</v>
      </c>
      <c r="K21" s="113">
        <f t="shared" si="3"/>
        <v>0</v>
      </c>
      <c r="L21" s="113">
        <f>K21+J21+I21+H21</f>
        <v>0</v>
      </c>
    </row>
    <row r="22" spans="2:12" s="96" customFormat="1" ht="14.25" x14ac:dyDescent="0.2">
      <c r="C22" s="114"/>
    </row>
    <row r="23" spans="2:12" s="96" customFormat="1" ht="14.25" x14ac:dyDescent="0.2">
      <c r="B23" s="103" t="s">
        <v>56</v>
      </c>
      <c r="C23" s="104" t="s">
        <v>57</v>
      </c>
      <c r="D23" s="235"/>
      <c r="E23" s="235"/>
      <c r="F23" s="235"/>
      <c r="G23" s="236"/>
      <c r="H23" s="236"/>
      <c r="I23" s="236"/>
      <c r="J23" s="236"/>
      <c r="K23" s="236"/>
      <c r="L23" s="236"/>
    </row>
    <row r="24" spans="2:12" s="96" customFormat="1" ht="14.25" x14ac:dyDescent="0.2">
      <c r="B24" s="107" t="s">
        <v>17</v>
      </c>
      <c r="C24" s="108" t="s">
        <v>254</v>
      </c>
      <c r="D24" s="109" t="s">
        <v>20</v>
      </c>
      <c r="E24" s="109">
        <f>300000-61769</f>
        <v>238231</v>
      </c>
      <c r="F24" s="109">
        <v>0</v>
      </c>
      <c r="G24" s="110">
        <f>D24+E24+F24</f>
        <v>238231</v>
      </c>
      <c r="H24" s="110">
        <v>0</v>
      </c>
      <c r="I24" s="110">
        <v>0</v>
      </c>
      <c r="J24" s="110">
        <v>0</v>
      </c>
      <c r="K24" s="110">
        <v>0</v>
      </c>
      <c r="L24" s="110">
        <f>K24+J24+I24+H24</f>
        <v>0</v>
      </c>
    </row>
    <row r="25" spans="2:12" s="96" customFormat="1" ht="14.25" x14ac:dyDescent="0.2">
      <c r="B25" s="107" t="s">
        <v>21</v>
      </c>
      <c r="C25" s="108" t="s">
        <v>247</v>
      </c>
      <c r="D25" s="109" t="s">
        <v>20</v>
      </c>
      <c r="E25" s="109">
        <v>0</v>
      </c>
      <c r="F25" s="109">
        <v>0</v>
      </c>
      <c r="G25" s="110">
        <f>D25+E25+F25</f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f>K25+J25+I25+H25</f>
        <v>0</v>
      </c>
    </row>
    <row r="26" spans="2:12" s="96" customFormat="1" ht="15" x14ac:dyDescent="0.2">
      <c r="B26" s="111"/>
      <c r="C26" s="112" t="s">
        <v>60</v>
      </c>
      <c r="D26" s="113">
        <f>SUM(D24:D25)</f>
        <v>0</v>
      </c>
      <c r="E26" s="113">
        <f t="shared" ref="E26:L26" si="4">SUM(E24:E25)</f>
        <v>238231</v>
      </c>
      <c r="F26" s="113">
        <f t="shared" si="4"/>
        <v>0</v>
      </c>
      <c r="G26" s="113">
        <f t="shared" si="4"/>
        <v>238231</v>
      </c>
      <c r="H26" s="113">
        <f t="shared" si="4"/>
        <v>0</v>
      </c>
      <c r="I26" s="113">
        <f t="shared" si="4"/>
        <v>0</v>
      </c>
      <c r="J26" s="113">
        <f t="shared" si="4"/>
        <v>0</v>
      </c>
      <c r="K26" s="113">
        <f t="shared" si="4"/>
        <v>0</v>
      </c>
      <c r="L26" s="113">
        <f t="shared" si="4"/>
        <v>0</v>
      </c>
    </row>
    <row r="27" spans="2:12" s="96" customFormat="1" ht="14.25" x14ac:dyDescent="0.2">
      <c r="C27" s="114"/>
    </row>
    <row r="28" spans="2:12" s="96" customFormat="1" ht="14.25" x14ac:dyDescent="0.2">
      <c r="B28" s="103" t="s">
        <v>72</v>
      </c>
      <c r="C28" s="104" t="s">
        <v>73</v>
      </c>
      <c r="D28" s="105" t="s">
        <v>85</v>
      </c>
      <c r="E28" s="105" t="s">
        <v>86</v>
      </c>
      <c r="F28" s="105" t="s">
        <v>87</v>
      </c>
      <c r="G28" s="106"/>
      <c r="H28" s="106"/>
      <c r="I28" s="106"/>
      <c r="J28" s="106"/>
      <c r="K28" s="106"/>
      <c r="L28" s="106"/>
    </row>
    <row r="29" spans="2:12" s="96" customFormat="1" ht="14.25" x14ac:dyDescent="0.2">
      <c r="B29" s="107" t="s">
        <v>23</v>
      </c>
      <c r="C29" s="108" t="s">
        <v>77</v>
      </c>
      <c r="D29" s="109" t="s">
        <v>20</v>
      </c>
      <c r="E29" s="109" t="s">
        <v>20</v>
      </c>
      <c r="F29" s="109">
        <f>35000+850000-850000+196458.28</f>
        <v>231458.28</v>
      </c>
      <c r="G29" s="110">
        <f>D29+E29+F29</f>
        <v>231458.28</v>
      </c>
      <c r="H29" s="110">
        <v>0</v>
      </c>
      <c r="I29" s="110">
        <v>0</v>
      </c>
      <c r="J29" s="110">
        <v>0</v>
      </c>
      <c r="K29" s="110">
        <v>0</v>
      </c>
      <c r="L29" s="110">
        <f>K29+J29+I29+H29</f>
        <v>0</v>
      </c>
    </row>
    <row r="30" spans="2:12" s="96" customFormat="1" ht="15" x14ac:dyDescent="0.2">
      <c r="B30" s="111"/>
      <c r="C30" s="112" t="s">
        <v>78</v>
      </c>
      <c r="D30" s="113">
        <f t="shared" ref="D30:K30" si="5">SUM(D29)</f>
        <v>0</v>
      </c>
      <c r="E30" s="113">
        <f t="shared" si="5"/>
        <v>0</v>
      </c>
      <c r="F30" s="113">
        <f t="shared" si="5"/>
        <v>231458.28</v>
      </c>
      <c r="G30" s="113">
        <f t="shared" si="5"/>
        <v>231458.28</v>
      </c>
      <c r="H30" s="113">
        <f t="shared" si="5"/>
        <v>0</v>
      </c>
      <c r="I30" s="113">
        <f t="shared" si="5"/>
        <v>0</v>
      </c>
      <c r="J30" s="113">
        <f t="shared" si="5"/>
        <v>0</v>
      </c>
      <c r="K30" s="113">
        <f t="shared" si="5"/>
        <v>0</v>
      </c>
      <c r="L30" s="113">
        <f>K30+J30+I30+H30</f>
        <v>0</v>
      </c>
    </row>
    <row r="31" spans="2:12" s="96" customFormat="1" ht="14.25" x14ac:dyDescent="0.2">
      <c r="C31" s="114"/>
    </row>
    <row r="32" spans="2:12" s="96" customFormat="1" ht="15" x14ac:dyDescent="0.2">
      <c r="B32" s="274" t="s">
        <v>79</v>
      </c>
      <c r="C32" s="275"/>
      <c r="D32" s="115">
        <f>D30+D17+D12+D26+D21</f>
        <v>2594927.75</v>
      </c>
      <c r="E32" s="115">
        <f t="shared" ref="E32:L32" si="6">E30+E17+E12+E26+E21</f>
        <v>760004</v>
      </c>
      <c r="F32" s="115">
        <f t="shared" si="6"/>
        <v>231458.28</v>
      </c>
      <c r="G32" s="115">
        <f t="shared" si="6"/>
        <v>3586390.0300000003</v>
      </c>
      <c r="H32" s="115">
        <f t="shared" si="6"/>
        <v>0</v>
      </c>
      <c r="I32" s="115">
        <f t="shared" si="6"/>
        <v>0</v>
      </c>
      <c r="J32" s="115">
        <f t="shared" si="6"/>
        <v>0</v>
      </c>
      <c r="K32" s="115">
        <f t="shared" si="6"/>
        <v>0</v>
      </c>
      <c r="L32" s="115">
        <f t="shared" si="6"/>
        <v>0</v>
      </c>
    </row>
    <row r="34" spans="4:8" x14ac:dyDescent="0.2">
      <c r="D34" s="117"/>
      <c r="E34" s="117"/>
      <c r="F34" s="117"/>
      <c r="G34" s="117"/>
      <c r="H34" s="117"/>
    </row>
    <row r="35" spans="4:8" x14ac:dyDescent="0.2">
      <c r="D35" s="117"/>
      <c r="E35" s="117"/>
      <c r="F35" s="117"/>
      <c r="G35" s="117"/>
      <c r="H35" s="117"/>
    </row>
    <row r="45" spans="4:8" x14ac:dyDescent="0.2">
      <c r="G45" s="116" t="s">
        <v>88</v>
      </c>
    </row>
  </sheetData>
  <mergeCells count="3">
    <mergeCell ref="B3:C4"/>
    <mergeCell ref="B32:C32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26"/>
  <sheetViews>
    <sheetView zoomScaleNormal="100" zoomScaleSheetLayoutView="100" workbookViewId="0">
      <selection activeCell="N25" sqref="N25"/>
    </sheetView>
  </sheetViews>
  <sheetFormatPr defaultRowHeight="12.75" x14ac:dyDescent="0.2"/>
  <cols>
    <col min="1" max="1" width="6" style="116" customWidth="1"/>
    <col min="2" max="2" width="3.5703125" style="116" customWidth="1"/>
    <col min="3" max="3" width="52.28515625" style="117" customWidth="1"/>
    <col min="4" max="4" width="21.5703125" style="116" customWidth="1"/>
    <col min="5" max="5" width="16.5703125" style="116" customWidth="1"/>
    <col min="6" max="6" width="17.5703125" style="116" customWidth="1"/>
    <col min="7" max="7" width="16.28515625" style="116" customWidth="1"/>
    <col min="8" max="8" width="14.7109375" style="116" customWidth="1"/>
    <col min="9" max="9" width="15.42578125" style="116" customWidth="1"/>
    <col min="10" max="10" width="16.5703125" style="116" customWidth="1"/>
    <col min="11" max="11" width="16.140625" style="116" customWidth="1"/>
    <col min="12" max="12" width="17.7109375" style="116" customWidth="1"/>
    <col min="13" max="13" width="3.5703125" style="116" customWidth="1"/>
    <col min="14" max="14" width="69.5703125" style="116" customWidth="1"/>
    <col min="15" max="16384" width="9.140625" style="116"/>
  </cols>
  <sheetData>
    <row r="1" spans="1:14" s="93" customFormat="1" ht="57.75" customHeight="1" x14ac:dyDescent="0.15">
      <c r="A1" s="276" t="s">
        <v>236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118"/>
      <c r="N1" s="118"/>
    </row>
    <row r="2" spans="1:14" s="93" customFormat="1" ht="18" customHeight="1" x14ac:dyDescent="0.2">
      <c r="A2" s="119"/>
      <c r="B2" s="120"/>
      <c r="C2" s="121"/>
      <c r="D2" s="122" t="s">
        <v>80</v>
      </c>
      <c r="E2" s="123"/>
      <c r="F2" s="123"/>
      <c r="G2" s="124" t="s">
        <v>88</v>
      </c>
      <c r="M2" s="119"/>
    </row>
    <row r="3" spans="1:14" s="125" customFormat="1" ht="75" x14ac:dyDescent="0.2">
      <c r="B3" s="277" t="s">
        <v>0</v>
      </c>
      <c r="C3" s="278"/>
      <c r="D3" s="126" t="s">
        <v>81</v>
      </c>
      <c r="E3" s="126" t="s">
        <v>82</v>
      </c>
      <c r="F3" s="126" t="s">
        <v>83</v>
      </c>
      <c r="G3" s="126" t="s">
        <v>84</v>
      </c>
      <c r="H3" s="95" t="s">
        <v>215</v>
      </c>
      <c r="I3" s="95" t="s">
        <v>224</v>
      </c>
      <c r="J3" s="95" t="s">
        <v>225</v>
      </c>
      <c r="K3" s="95" t="s">
        <v>226</v>
      </c>
      <c r="L3" s="95" t="s">
        <v>227</v>
      </c>
    </row>
    <row r="4" spans="1:14" s="125" customFormat="1" ht="15" x14ac:dyDescent="0.2">
      <c r="B4" s="279"/>
      <c r="C4" s="280"/>
      <c r="D4" s="127" t="s">
        <v>85</v>
      </c>
      <c r="E4" s="127" t="s">
        <v>86</v>
      </c>
      <c r="F4" s="127" t="s">
        <v>87</v>
      </c>
      <c r="G4" s="127" t="s">
        <v>80</v>
      </c>
      <c r="H4" s="97" t="s">
        <v>216</v>
      </c>
      <c r="I4" s="97" t="s">
        <v>218</v>
      </c>
      <c r="J4" s="97" t="s">
        <v>219</v>
      </c>
      <c r="K4" s="97" t="s">
        <v>220</v>
      </c>
      <c r="L4" s="97" t="s">
        <v>221</v>
      </c>
    </row>
    <row r="5" spans="1:14" s="125" customFormat="1" ht="14.25" x14ac:dyDescent="0.2">
      <c r="A5" s="128"/>
      <c r="B5" s="129"/>
      <c r="C5" s="130"/>
      <c r="D5" s="131" t="s">
        <v>80</v>
      </c>
      <c r="E5" s="132"/>
      <c r="F5" s="132"/>
      <c r="G5" s="133"/>
      <c r="H5" s="102"/>
      <c r="I5" s="102"/>
      <c r="J5" s="102"/>
      <c r="K5" s="102"/>
      <c r="L5" s="102"/>
    </row>
    <row r="6" spans="1:14" s="125" customFormat="1" ht="25.5" x14ac:dyDescent="0.2">
      <c r="A6" s="128"/>
      <c r="B6" s="134" t="s">
        <v>17</v>
      </c>
      <c r="C6" s="135" t="s">
        <v>18</v>
      </c>
      <c r="D6" s="136" t="s">
        <v>85</v>
      </c>
      <c r="E6" s="136" t="s">
        <v>86</v>
      </c>
      <c r="F6" s="136" t="s">
        <v>87</v>
      </c>
      <c r="G6" s="137"/>
      <c r="H6" s="106"/>
      <c r="I6" s="106"/>
      <c r="J6" s="106"/>
      <c r="K6" s="106"/>
      <c r="L6" s="106"/>
    </row>
    <row r="7" spans="1:14" s="125" customFormat="1" ht="25.5" x14ac:dyDescent="0.2">
      <c r="A7" s="138" t="s">
        <v>16</v>
      </c>
      <c r="B7" s="139" t="s">
        <v>23</v>
      </c>
      <c r="C7" s="140" t="s">
        <v>24</v>
      </c>
      <c r="D7" s="141">
        <v>34500</v>
      </c>
      <c r="E7" s="141" t="s">
        <v>20</v>
      </c>
      <c r="F7" s="141" t="s">
        <v>20</v>
      </c>
      <c r="G7" s="142">
        <f>D7+E7+F7</f>
        <v>34500</v>
      </c>
      <c r="H7" s="110">
        <v>0</v>
      </c>
      <c r="I7" s="110">
        <v>0</v>
      </c>
      <c r="J7" s="110">
        <v>0</v>
      </c>
      <c r="K7" s="110">
        <v>0</v>
      </c>
      <c r="L7" s="110">
        <f t="shared" ref="L7:L12" si="0">K7+J7+I7+H7</f>
        <v>0</v>
      </c>
    </row>
    <row r="8" spans="1:14" s="125" customFormat="1" ht="14.25" x14ac:dyDescent="0.2">
      <c r="A8" s="138"/>
      <c r="B8" s="139" t="s">
        <v>25</v>
      </c>
      <c r="C8" s="140" t="s">
        <v>26</v>
      </c>
      <c r="D8" s="141">
        <v>0</v>
      </c>
      <c r="E8" s="141">
        <v>0</v>
      </c>
      <c r="F8" s="141">
        <v>0</v>
      </c>
      <c r="G8" s="142">
        <f>D8+E8+F8</f>
        <v>0</v>
      </c>
      <c r="H8" s="109">
        <v>0</v>
      </c>
      <c r="I8" s="109">
        <v>0</v>
      </c>
      <c r="J8" s="109">
        <v>0</v>
      </c>
      <c r="K8" s="109">
        <v>0</v>
      </c>
      <c r="L8" s="110">
        <f t="shared" si="0"/>
        <v>0</v>
      </c>
    </row>
    <row r="9" spans="1:14" s="125" customFormat="1" ht="14.25" x14ac:dyDescent="0.2">
      <c r="A9" s="143"/>
      <c r="B9" s="139" t="s">
        <v>27</v>
      </c>
      <c r="C9" s="140" t="s">
        <v>28</v>
      </c>
      <c r="D9" s="141">
        <v>173530</v>
      </c>
      <c r="E9" s="141" t="s">
        <v>20</v>
      </c>
      <c r="F9" s="141">
        <v>0</v>
      </c>
      <c r="G9" s="142">
        <f>D9+E9+F9</f>
        <v>173530</v>
      </c>
      <c r="H9" s="110">
        <v>0</v>
      </c>
      <c r="I9" s="110">
        <v>0</v>
      </c>
      <c r="J9" s="110">
        <v>0</v>
      </c>
      <c r="K9" s="110">
        <v>0</v>
      </c>
      <c r="L9" s="110">
        <f t="shared" si="0"/>
        <v>0</v>
      </c>
    </row>
    <row r="10" spans="1:14" s="125" customFormat="1" ht="14.25" x14ac:dyDescent="0.2">
      <c r="A10" s="143"/>
      <c r="B10" s="139" t="s">
        <v>29</v>
      </c>
      <c r="C10" s="140" t="s">
        <v>30</v>
      </c>
      <c r="D10" s="141">
        <v>995156</v>
      </c>
      <c r="E10" s="141" t="s">
        <v>20</v>
      </c>
      <c r="F10" s="141" t="s">
        <v>20</v>
      </c>
      <c r="G10" s="142">
        <f>D10+E10+F10</f>
        <v>995156</v>
      </c>
      <c r="H10" s="110">
        <v>0</v>
      </c>
      <c r="I10" s="110">
        <v>0</v>
      </c>
      <c r="J10" s="110">
        <v>0</v>
      </c>
      <c r="K10" s="110">
        <v>0</v>
      </c>
      <c r="L10" s="110">
        <f t="shared" si="0"/>
        <v>0</v>
      </c>
    </row>
    <row r="11" spans="1:14" s="125" customFormat="1" ht="14.25" x14ac:dyDescent="0.2">
      <c r="A11" s="143"/>
      <c r="B11" s="139" t="s">
        <v>33</v>
      </c>
      <c r="C11" s="140" t="s">
        <v>34</v>
      </c>
      <c r="D11" s="141">
        <v>0</v>
      </c>
      <c r="E11" s="141" t="s">
        <v>20</v>
      </c>
      <c r="F11" s="141" t="s">
        <v>20</v>
      </c>
      <c r="G11" s="142">
        <f>D11+E11+F11</f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f t="shared" si="0"/>
        <v>0</v>
      </c>
    </row>
    <row r="12" spans="1:14" s="125" customFormat="1" ht="25.5" x14ac:dyDescent="0.2">
      <c r="A12" s="131" t="s">
        <v>16</v>
      </c>
      <c r="B12" s="144"/>
      <c r="C12" s="145" t="s">
        <v>35</v>
      </c>
      <c r="D12" s="146">
        <f t="shared" ref="D12:K12" si="1">SUM(D7:D11)</f>
        <v>1203186</v>
      </c>
      <c r="E12" s="146">
        <f t="shared" si="1"/>
        <v>0</v>
      </c>
      <c r="F12" s="146">
        <f t="shared" si="1"/>
        <v>0</v>
      </c>
      <c r="G12" s="146">
        <f t="shared" si="1"/>
        <v>1203186</v>
      </c>
      <c r="H12" s="113">
        <f t="shared" si="1"/>
        <v>0</v>
      </c>
      <c r="I12" s="113">
        <f t="shared" si="1"/>
        <v>0</v>
      </c>
      <c r="J12" s="113">
        <f t="shared" si="1"/>
        <v>0</v>
      </c>
      <c r="K12" s="113">
        <f t="shared" si="1"/>
        <v>0</v>
      </c>
      <c r="L12" s="113">
        <f t="shared" si="0"/>
        <v>0</v>
      </c>
    </row>
    <row r="13" spans="1:14" s="125" customFormat="1" ht="14.25" x14ac:dyDescent="0.2">
      <c r="C13" s="147"/>
      <c r="H13" s="96"/>
      <c r="I13" s="96"/>
      <c r="J13" s="96"/>
      <c r="K13" s="96"/>
      <c r="L13" s="96"/>
    </row>
    <row r="14" spans="1:14" s="125" customFormat="1" ht="25.5" x14ac:dyDescent="0.2">
      <c r="A14" s="128"/>
      <c r="B14" s="134" t="s">
        <v>25</v>
      </c>
      <c r="C14" s="135" t="s">
        <v>36</v>
      </c>
      <c r="D14" s="136" t="s">
        <v>85</v>
      </c>
      <c r="E14" s="136" t="s">
        <v>86</v>
      </c>
      <c r="F14" s="136" t="s">
        <v>87</v>
      </c>
      <c r="G14" s="137"/>
      <c r="H14" s="106"/>
      <c r="I14" s="106"/>
      <c r="J14" s="106"/>
      <c r="K14" s="106"/>
      <c r="L14" s="106"/>
    </row>
    <row r="15" spans="1:14" s="125" customFormat="1" ht="14.25" x14ac:dyDescent="0.2">
      <c r="A15" s="138" t="s">
        <v>37</v>
      </c>
      <c r="B15" s="139" t="s">
        <v>17</v>
      </c>
      <c r="C15" s="140" t="s">
        <v>38</v>
      </c>
      <c r="D15" s="141">
        <v>0</v>
      </c>
      <c r="E15" s="141">
        <v>0</v>
      </c>
      <c r="F15" s="141" t="s">
        <v>20</v>
      </c>
      <c r="G15" s="142">
        <f>D15+E15+F15</f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f>K15+J15+I15+H15</f>
        <v>0</v>
      </c>
    </row>
    <row r="16" spans="1:14" s="125" customFormat="1" ht="14.25" x14ac:dyDescent="0.2">
      <c r="A16" s="143"/>
      <c r="B16" s="139" t="s">
        <v>21</v>
      </c>
      <c r="C16" s="140" t="s">
        <v>39</v>
      </c>
      <c r="D16" s="249">
        <v>0</v>
      </c>
      <c r="E16" s="141">
        <v>0</v>
      </c>
      <c r="F16" s="141" t="s">
        <v>20</v>
      </c>
      <c r="G16" s="142">
        <f>D16+E16+F16</f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f>K16+J16+I16+H16</f>
        <v>0</v>
      </c>
    </row>
    <row r="17" spans="1:14" s="125" customFormat="1" ht="25.5" x14ac:dyDescent="0.2">
      <c r="A17" s="131" t="s">
        <v>37</v>
      </c>
      <c r="B17" s="144"/>
      <c r="C17" s="145" t="s">
        <v>40</v>
      </c>
      <c r="D17" s="146">
        <f>SUM(D15:D16)</f>
        <v>0</v>
      </c>
      <c r="E17" s="146">
        <f>SUM(E14:E15)</f>
        <v>0</v>
      </c>
      <c r="F17" s="146" t="s">
        <v>20</v>
      </c>
      <c r="G17" s="146">
        <f>SUM(G13:G16)</f>
        <v>0</v>
      </c>
      <c r="H17" s="113">
        <f>SUM(H15:H16)</f>
        <v>0</v>
      </c>
      <c r="I17" s="113">
        <f>SUM(I15:I16)</f>
        <v>0</v>
      </c>
      <c r="J17" s="113">
        <f>SUM(J15:J16)</f>
        <v>0</v>
      </c>
      <c r="K17" s="113">
        <f>SUM(K15:K16)</f>
        <v>0</v>
      </c>
      <c r="L17" s="113">
        <f>K17+J17+I17+H17</f>
        <v>0</v>
      </c>
      <c r="N17" s="125" t="s">
        <v>88</v>
      </c>
    </row>
    <row r="18" spans="1:14" s="125" customFormat="1" ht="14.25" x14ac:dyDescent="0.2">
      <c r="C18" s="147"/>
      <c r="H18" s="96"/>
      <c r="I18" s="96"/>
      <c r="J18" s="96"/>
      <c r="K18" s="96"/>
      <c r="L18" s="96"/>
    </row>
    <row r="19" spans="1:14" s="125" customFormat="1" ht="14.25" x14ac:dyDescent="0.2">
      <c r="A19" s="128"/>
      <c r="B19" s="134" t="s">
        <v>72</v>
      </c>
      <c r="C19" s="135" t="s">
        <v>73</v>
      </c>
      <c r="D19" s="136" t="s">
        <v>85</v>
      </c>
      <c r="E19" s="136" t="s">
        <v>86</v>
      </c>
      <c r="F19" s="136" t="s">
        <v>87</v>
      </c>
      <c r="G19" s="137"/>
      <c r="H19" s="106"/>
      <c r="I19" s="106"/>
      <c r="J19" s="106"/>
      <c r="K19" s="106"/>
      <c r="L19" s="106"/>
    </row>
    <row r="20" spans="1:14" s="125" customFormat="1" ht="14.25" x14ac:dyDescent="0.2">
      <c r="A20" s="138" t="s">
        <v>74</v>
      </c>
      <c r="B20" s="139" t="s">
        <v>23</v>
      </c>
      <c r="C20" s="140" t="s">
        <v>77</v>
      </c>
      <c r="D20" s="141" t="s">
        <v>20</v>
      </c>
      <c r="E20" s="141" t="s">
        <v>20</v>
      </c>
      <c r="F20" s="141">
        <v>35000</v>
      </c>
      <c r="G20" s="142">
        <f>D20+E20+F20</f>
        <v>35000</v>
      </c>
      <c r="H20" s="110">
        <v>0</v>
      </c>
      <c r="I20" s="110">
        <v>0</v>
      </c>
      <c r="J20" s="110">
        <v>0</v>
      </c>
      <c r="K20" s="110">
        <v>0</v>
      </c>
      <c r="L20" s="110">
        <f>K20+J20+I20+H20</f>
        <v>0</v>
      </c>
    </row>
    <row r="21" spans="1:14" s="125" customFormat="1" ht="15" x14ac:dyDescent="0.2">
      <c r="A21" s="131" t="s">
        <v>74</v>
      </c>
      <c r="B21" s="144"/>
      <c r="C21" s="145" t="s">
        <v>78</v>
      </c>
      <c r="D21" s="148">
        <f t="shared" ref="D21:K21" si="2">SUM(D20)</f>
        <v>0</v>
      </c>
      <c r="E21" s="148">
        <f t="shared" si="2"/>
        <v>0</v>
      </c>
      <c r="F21" s="148">
        <f t="shared" si="2"/>
        <v>35000</v>
      </c>
      <c r="G21" s="148">
        <f t="shared" si="2"/>
        <v>35000</v>
      </c>
      <c r="H21" s="113">
        <f t="shared" si="2"/>
        <v>0</v>
      </c>
      <c r="I21" s="113">
        <f t="shared" si="2"/>
        <v>0</v>
      </c>
      <c r="J21" s="113">
        <f t="shared" si="2"/>
        <v>0</v>
      </c>
      <c r="K21" s="113">
        <f t="shared" si="2"/>
        <v>0</v>
      </c>
      <c r="L21" s="113">
        <f>K21+J21+I21+H21</f>
        <v>0</v>
      </c>
    </row>
    <row r="22" spans="1:14" s="125" customFormat="1" ht="14.25" x14ac:dyDescent="0.2">
      <c r="C22" s="147"/>
      <c r="H22" s="96"/>
      <c r="I22" s="96"/>
      <c r="J22" s="96"/>
      <c r="K22" s="96"/>
      <c r="L22" s="96"/>
    </row>
    <row r="23" spans="1:14" s="125" customFormat="1" ht="15" x14ac:dyDescent="0.2">
      <c r="A23" s="133"/>
      <c r="B23" s="281" t="s">
        <v>79</v>
      </c>
      <c r="C23" s="282"/>
      <c r="D23" s="149">
        <f t="shared" ref="D23:L23" si="3">D21+D17+D12</f>
        <v>1203186</v>
      </c>
      <c r="E23" s="149">
        <f t="shared" si="3"/>
        <v>0</v>
      </c>
      <c r="F23" s="149">
        <f t="shared" si="3"/>
        <v>35000</v>
      </c>
      <c r="G23" s="149">
        <f t="shared" si="3"/>
        <v>1238186</v>
      </c>
      <c r="H23" s="115">
        <f t="shared" si="3"/>
        <v>0</v>
      </c>
      <c r="I23" s="115">
        <f t="shared" si="3"/>
        <v>0</v>
      </c>
      <c r="J23" s="115">
        <f t="shared" si="3"/>
        <v>0</v>
      </c>
      <c r="K23" s="115">
        <f t="shared" si="3"/>
        <v>0</v>
      </c>
      <c r="L23" s="115">
        <f t="shared" si="3"/>
        <v>0</v>
      </c>
    </row>
    <row r="25" spans="1:14" x14ac:dyDescent="0.2">
      <c r="H25" s="117"/>
    </row>
    <row r="26" spans="1:14" x14ac:dyDescent="0.2">
      <c r="H26" s="117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26"/>
  <sheetViews>
    <sheetView zoomScale="90" zoomScaleNormal="90" zoomScaleSheetLayoutView="100" workbookViewId="0">
      <selection activeCell="N18" sqref="N18"/>
    </sheetView>
  </sheetViews>
  <sheetFormatPr defaultRowHeight="12.75" x14ac:dyDescent="0.2"/>
  <cols>
    <col min="1" max="1" width="6" style="116" customWidth="1"/>
    <col min="2" max="2" width="3.5703125" style="116" customWidth="1"/>
    <col min="3" max="3" width="52.28515625" style="117" customWidth="1"/>
    <col min="4" max="4" width="21.5703125" style="116" customWidth="1"/>
    <col min="5" max="5" width="16.5703125" style="116" customWidth="1"/>
    <col min="6" max="6" width="17.5703125" style="116" customWidth="1"/>
    <col min="7" max="7" width="16.28515625" style="116" customWidth="1"/>
    <col min="8" max="8" width="14.7109375" style="116" customWidth="1"/>
    <col min="9" max="9" width="15.42578125" style="116" customWidth="1"/>
    <col min="10" max="10" width="16.5703125" style="116" customWidth="1"/>
    <col min="11" max="11" width="16.140625" style="116" customWidth="1"/>
    <col min="12" max="12" width="17.7109375" style="116" customWidth="1"/>
    <col min="13" max="13" width="3.5703125" style="116" customWidth="1"/>
    <col min="14" max="14" width="69.5703125" style="116" customWidth="1"/>
    <col min="15" max="16384" width="9.140625" style="116"/>
  </cols>
  <sheetData>
    <row r="1" spans="1:14" s="93" customFormat="1" ht="57.75" customHeight="1" x14ac:dyDescent="0.15">
      <c r="A1" s="276" t="s">
        <v>251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118"/>
      <c r="N1" s="118"/>
    </row>
    <row r="2" spans="1:14" s="93" customFormat="1" ht="18" customHeight="1" x14ac:dyDescent="0.2">
      <c r="A2" s="119"/>
      <c r="B2" s="120"/>
      <c r="C2" s="121"/>
      <c r="D2" s="122" t="s">
        <v>80</v>
      </c>
      <c r="E2" s="123"/>
      <c r="F2" s="123"/>
      <c r="G2" s="124" t="s">
        <v>80</v>
      </c>
      <c r="M2" s="119"/>
    </row>
    <row r="3" spans="1:14" s="125" customFormat="1" ht="75" x14ac:dyDescent="0.2">
      <c r="B3" s="277" t="s">
        <v>0</v>
      </c>
      <c r="C3" s="278"/>
      <c r="D3" s="126" t="s">
        <v>81</v>
      </c>
      <c r="E3" s="126" t="s">
        <v>82</v>
      </c>
      <c r="F3" s="126" t="s">
        <v>83</v>
      </c>
      <c r="G3" s="126" t="s">
        <v>84</v>
      </c>
      <c r="H3" s="95" t="s">
        <v>215</v>
      </c>
      <c r="I3" s="95" t="s">
        <v>224</v>
      </c>
      <c r="J3" s="95" t="s">
        <v>225</v>
      </c>
      <c r="K3" s="95" t="s">
        <v>226</v>
      </c>
      <c r="L3" s="95" t="s">
        <v>227</v>
      </c>
    </row>
    <row r="4" spans="1:14" s="125" customFormat="1" ht="15" x14ac:dyDescent="0.2">
      <c r="B4" s="279"/>
      <c r="C4" s="280"/>
      <c r="D4" s="127" t="s">
        <v>85</v>
      </c>
      <c r="E4" s="127" t="s">
        <v>86</v>
      </c>
      <c r="F4" s="127" t="s">
        <v>87</v>
      </c>
      <c r="G4" s="127" t="s">
        <v>80</v>
      </c>
      <c r="H4" s="97" t="s">
        <v>216</v>
      </c>
      <c r="I4" s="97" t="s">
        <v>218</v>
      </c>
      <c r="J4" s="97" t="s">
        <v>219</v>
      </c>
      <c r="K4" s="97" t="s">
        <v>220</v>
      </c>
      <c r="L4" s="97" t="s">
        <v>221</v>
      </c>
    </row>
    <row r="5" spans="1:14" s="125" customFormat="1" ht="14.25" x14ac:dyDescent="0.2">
      <c r="A5" s="128"/>
      <c r="B5" s="129"/>
      <c r="C5" s="130"/>
      <c r="D5" s="131" t="s">
        <v>80</v>
      </c>
      <c r="E5" s="132"/>
      <c r="F5" s="132"/>
      <c r="G5" s="133"/>
      <c r="H5" s="102"/>
      <c r="I5" s="102"/>
      <c r="J5" s="102"/>
      <c r="K5" s="102"/>
      <c r="L5" s="102"/>
    </row>
    <row r="6" spans="1:14" s="125" customFormat="1" ht="25.5" x14ac:dyDescent="0.2">
      <c r="A6" s="128"/>
      <c r="B6" s="134" t="s">
        <v>17</v>
      </c>
      <c r="C6" s="135" t="s">
        <v>18</v>
      </c>
      <c r="D6" s="136" t="s">
        <v>85</v>
      </c>
      <c r="E6" s="136" t="s">
        <v>86</v>
      </c>
      <c r="F6" s="136" t="s">
        <v>87</v>
      </c>
      <c r="G6" s="137"/>
      <c r="H6" s="106"/>
      <c r="I6" s="106"/>
      <c r="J6" s="106"/>
      <c r="K6" s="106"/>
      <c r="L6" s="106"/>
    </row>
    <row r="7" spans="1:14" s="125" customFormat="1" ht="25.5" x14ac:dyDescent="0.2">
      <c r="A7" s="138" t="s">
        <v>16</v>
      </c>
      <c r="B7" s="139" t="s">
        <v>23</v>
      </c>
      <c r="C7" s="140" t="s">
        <v>24</v>
      </c>
      <c r="D7" s="141">
        <v>34500</v>
      </c>
      <c r="E7" s="141" t="s">
        <v>20</v>
      </c>
      <c r="F7" s="141" t="s">
        <v>20</v>
      </c>
      <c r="G7" s="142">
        <f>D7+E7+F7</f>
        <v>34500</v>
      </c>
      <c r="H7" s="110">
        <v>0</v>
      </c>
      <c r="I7" s="110">
        <v>0</v>
      </c>
      <c r="J7" s="110">
        <v>0</v>
      </c>
      <c r="K7" s="110">
        <v>0</v>
      </c>
      <c r="L7" s="110">
        <f t="shared" ref="L7:L12" si="0">K7+J7+I7+H7</f>
        <v>0</v>
      </c>
    </row>
    <row r="8" spans="1:14" s="125" customFormat="1" ht="14.25" x14ac:dyDescent="0.2">
      <c r="A8" s="138"/>
      <c r="B8" s="139" t="s">
        <v>25</v>
      </c>
      <c r="C8" s="140" t="s">
        <v>26</v>
      </c>
      <c r="D8" s="141">
        <v>0</v>
      </c>
      <c r="E8" s="141">
        <v>0</v>
      </c>
      <c r="F8" s="141">
        <v>0</v>
      </c>
      <c r="G8" s="142">
        <v>0</v>
      </c>
      <c r="H8" s="109">
        <v>0</v>
      </c>
      <c r="I8" s="109">
        <v>0</v>
      </c>
      <c r="J8" s="109">
        <v>0</v>
      </c>
      <c r="K8" s="109">
        <v>0</v>
      </c>
      <c r="L8" s="110">
        <f t="shared" si="0"/>
        <v>0</v>
      </c>
    </row>
    <row r="9" spans="1:14" s="125" customFormat="1" ht="14.25" x14ac:dyDescent="0.2">
      <c r="A9" s="143"/>
      <c r="B9" s="139" t="s">
        <v>27</v>
      </c>
      <c r="C9" s="140" t="s">
        <v>28</v>
      </c>
      <c r="D9" s="141">
        <v>173530</v>
      </c>
      <c r="E9" s="141" t="s">
        <v>20</v>
      </c>
      <c r="F9" s="141">
        <v>0</v>
      </c>
      <c r="G9" s="142">
        <f>D9+E9+F9</f>
        <v>173530</v>
      </c>
      <c r="H9" s="110">
        <v>0</v>
      </c>
      <c r="I9" s="110">
        <v>0</v>
      </c>
      <c r="J9" s="110">
        <v>0</v>
      </c>
      <c r="K9" s="110">
        <v>0</v>
      </c>
      <c r="L9" s="110">
        <f t="shared" si="0"/>
        <v>0</v>
      </c>
    </row>
    <row r="10" spans="1:14" s="125" customFormat="1" ht="14.25" x14ac:dyDescent="0.2">
      <c r="A10" s="143"/>
      <c r="B10" s="139" t="s">
        <v>29</v>
      </c>
      <c r="C10" s="140" t="s">
        <v>30</v>
      </c>
      <c r="D10" s="141">
        <v>490000</v>
      </c>
      <c r="E10" s="141" t="s">
        <v>20</v>
      </c>
      <c r="F10" s="141" t="s">
        <v>20</v>
      </c>
      <c r="G10" s="142">
        <f>D10+E10+F10</f>
        <v>490000</v>
      </c>
      <c r="H10" s="110">
        <v>0</v>
      </c>
      <c r="I10" s="110">
        <v>0</v>
      </c>
      <c r="J10" s="110">
        <v>0</v>
      </c>
      <c r="K10" s="110">
        <v>0</v>
      </c>
      <c r="L10" s="110">
        <f t="shared" si="0"/>
        <v>0</v>
      </c>
    </row>
    <row r="11" spans="1:14" s="125" customFormat="1" ht="14.25" x14ac:dyDescent="0.2">
      <c r="A11" s="143"/>
      <c r="B11" s="139" t="s">
        <v>33</v>
      </c>
      <c r="C11" s="140" t="s">
        <v>34</v>
      </c>
      <c r="D11" s="141">
        <v>0</v>
      </c>
      <c r="E11" s="141" t="s">
        <v>20</v>
      </c>
      <c r="F11" s="141" t="s">
        <v>20</v>
      </c>
      <c r="G11" s="142">
        <f>D11+E11+F11</f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f t="shared" si="0"/>
        <v>0</v>
      </c>
    </row>
    <row r="12" spans="1:14" s="125" customFormat="1" ht="25.5" x14ac:dyDescent="0.2">
      <c r="A12" s="131" t="s">
        <v>16</v>
      </c>
      <c r="B12" s="144"/>
      <c r="C12" s="145" t="s">
        <v>35</v>
      </c>
      <c r="D12" s="146">
        <f t="shared" ref="D12:K12" si="1">SUM(D7:D11)</f>
        <v>698030</v>
      </c>
      <c r="E12" s="146">
        <f t="shared" si="1"/>
        <v>0</v>
      </c>
      <c r="F12" s="146">
        <f t="shared" si="1"/>
        <v>0</v>
      </c>
      <c r="G12" s="146">
        <f t="shared" si="1"/>
        <v>698030</v>
      </c>
      <c r="H12" s="113">
        <f t="shared" si="1"/>
        <v>0</v>
      </c>
      <c r="I12" s="113">
        <f t="shared" si="1"/>
        <v>0</v>
      </c>
      <c r="J12" s="113">
        <f t="shared" si="1"/>
        <v>0</v>
      </c>
      <c r="K12" s="113">
        <f t="shared" si="1"/>
        <v>0</v>
      </c>
      <c r="L12" s="113">
        <f t="shared" si="0"/>
        <v>0</v>
      </c>
    </row>
    <row r="13" spans="1:14" s="125" customFormat="1" ht="14.25" x14ac:dyDescent="0.2">
      <c r="C13" s="147"/>
      <c r="H13" s="96"/>
      <c r="I13" s="96"/>
      <c r="J13" s="96"/>
      <c r="K13" s="96"/>
      <c r="L13" s="96"/>
    </row>
    <row r="14" spans="1:14" s="125" customFormat="1" ht="25.5" x14ac:dyDescent="0.2">
      <c r="A14" s="128"/>
      <c r="B14" s="134" t="s">
        <v>25</v>
      </c>
      <c r="C14" s="135" t="s">
        <v>36</v>
      </c>
      <c r="D14" s="136" t="s">
        <v>85</v>
      </c>
      <c r="E14" s="136" t="s">
        <v>86</v>
      </c>
      <c r="F14" s="136" t="s">
        <v>87</v>
      </c>
      <c r="G14" s="137"/>
      <c r="H14" s="106"/>
      <c r="I14" s="106"/>
      <c r="J14" s="106"/>
      <c r="K14" s="106"/>
      <c r="L14" s="106"/>
    </row>
    <row r="15" spans="1:14" s="125" customFormat="1" ht="14.25" x14ac:dyDescent="0.2">
      <c r="A15" s="138" t="s">
        <v>37</v>
      </c>
      <c r="B15" s="139" t="s">
        <v>17</v>
      </c>
      <c r="C15" s="140" t="s">
        <v>38</v>
      </c>
      <c r="D15" s="141">
        <v>0</v>
      </c>
      <c r="E15" s="141">
        <v>0</v>
      </c>
      <c r="F15" s="141" t="s">
        <v>20</v>
      </c>
      <c r="G15" s="142">
        <f>D15+E15+F15</f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f>K15+J15+I15+H15</f>
        <v>0</v>
      </c>
    </row>
    <row r="16" spans="1:14" s="125" customFormat="1" ht="14.25" x14ac:dyDescent="0.2">
      <c r="A16" s="143"/>
      <c r="B16" s="139" t="s">
        <v>21</v>
      </c>
      <c r="C16" s="140" t="s">
        <v>39</v>
      </c>
      <c r="D16" s="249">
        <v>0</v>
      </c>
      <c r="E16" s="141" t="s">
        <v>20</v>
      </c>
      <c r="F16" s="141" t="s">
        <v>20</v>
      </c>
      <c r="G16" s="142">
        <f>D16+E16+F16</f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f>K16+J16+I16+H16</f>
        <v>0</v>
      </c>
    </row>
    <row r="17" spans="1:12" s="125" customFormat="1" ht="25.5" x14ac:dyDescent="0.2">
      <c r="A17" s="131" t="s">
        <v>37</v>
      </c>
      <c r="B17" s="144"/>
      <c r="C17" s="145" t="s">
        <v>40</v>
      </c>
      <c r="D17" s="146">
        <f t="shared" ref="D17:K17" si="2">SUM(D15:D16)</f>
        <v>0</v>
      </c>
      <c r="E17" s="146">
        <f t="shared" si="2"/>
        <v>0</v>
      </c>
      <c r="F17" s="146">
        <f t="shared" si="2"/>
        <v>0</v>
      </c>
      <c r="G17" s="146">
        <f t="shared" si="2"/>
        <v>0</v>
      </c>
      <c r="H17" s="113">
        <f t="shared" si="2"/>
        <v>0</v>
      </c>
      <c r="I17" s="113">
        <f t="shared" si="2"/>
        <v>0</v>
      </c>
      <c r="J17" s="113">
        <f t="shared" si="2"/>
        <v>0</v>
      </c>
      <c r="K17" s="113">
        <f t="shared" si="2"/>
        <v>0</v>
      </c>
      <c r="L17" s="113">
        <f>K17+J17+I17+H17</f>
        <v>0</v>
      </c>
    </row>
    <row r="18" spans="1:12" s="125" customFormat="1" ht="14.25" x14ac:dyDescent="0.2">
      <c r="C18" s="147"/>
      <c r="H18" s="96"/>
      <c r="I18" s="96"/>
      <c r="J18" s="96"/>
      <c r="K18" s="96"/>
      <c r="L18" s="96"/>
    </row>
    <row r="19" spans="1:12" s="125" customFormat="1" ht="14.25" x14ac:dyDescent="0.2">
      <c r="A19" s="128"/>
      <c r="B19" s="134" t="s">
        <v>72</v>
      </c>
      <c r="C19" s="135" t="s">
        <v>73</v>
      </c>
      <c r="D19" s="136" t="s">
        <v>85</v>
      </c>
      <c r="E19" s="136" t="s">
        <v>86</v>
      </c>
      <c r="F19" s="136" t="s">
        <v>87</v>
      </c>
      <c r="G19" s="137"/>
      <c r="H19" s="106"/>
      <c r="I19" s="106"/>
      <c r="J19" s="106"/>
      <c r="K19" s="106"/>
      <c r="L19" s="106"/>
    </row>
    <row r="20" spans="1:12" s="125" customFormat="1" ht="14.25" x14ac:dyDescent="0.2">
      <c r="A20" s="138" t="s">
        <v>74</v>
      </c>
      <c r="B20" s="139" t="s">
        <v>23</v>
      </c>
      <c r="C20" s="140" t="s">
        <v>77</v>
      </c>
      <c r="D20" s="141" t="s">
        <v>20</v>
      </c>
      <c r="E20" s="141" t="s">
        <v>20</v>
      </c>
      <c r="F20" s="141">
        <v>35000</v>
      </c>
      <c r="G20" s="142">
        <v>35000</v>
      </c>
      <c r="H20" s="110">
        <v>0</v>
      </c>
      <c r="I20" s="110">
        <v>0</v>
      </c>
      <c r="J20" s="110">
        <v>0</v>
      </c>
      <c r="K20" s="110">
        <v>0</v>
      </c>
      <c r="L20" s="110">
        <f>K20+J20+I20+H20</f>
        <v>0</v>
      </c>
    </row>
    <row r="21" spans="1:12" s="125" customFormat="1" ht="15" x14ac:dyDescent="0.2">
      <c r="A21" s="131" t="s">
        <v>74</v>
      </c>
      <c r="B21" s="144"/>
      <c r="C21" s="145" t="s">
        <v>78</v>
      </c>
      <c r="D21" s="146">
        <f>SUM(D19:D20)</f>
        <v>0</v>
      </c>
      <c r="E21" s="146">
        <f>SUM(E19:E20)</f>
        <v>0</v>
      </c>
      <c r="F21" s="146">
        <f>SUM(F19:F20)</f>
        <v>35000</v>
      </c>
      <c r="G21" s="146">
        <f>SUM(G19:G20)</f>
        <v>35000</v>
      </c>
      <c r="H21" s="113">
        <f>SUM(H20)</f>
        <v>0</v>
      </c>
      <c r="I21" s="113">
        <f>SUM(I20)</f>
        <v>0</v>
      </c>
      <c r="J21" s="113">
        <f>SUM(J20)</f>
        <v>0</v>
      </c>
      <c r="K21" s="113">
        <f>SUM(K20)</f>
        <v>0</v>
      </c>
      <c r="L21" s="113">
        <f>K21+J21+I21+H21</f>
        <v>0</v>
      </c>
    </row>
    <row r="22" spans="1:12" s="125" customFormat="1" ht="14.25" x14ac:dyDescent="0.2">
      <c r="C22" s="147"/>
      <c r="H22" s="96"/>
      <c r="I22" s="96"/>
      <c r="J22" s="96"/>
      <c r="K22" s="96"/>
      <c r="L22" s="96"/>
    </row>
    <row r="23" spans="1:12" s="125" customFormat="1" ht="15" x14ac:dyDescent="0.2">
      <c r="A23" s="133"/>
      <c r="B23" s="281" t="s">
        <v>79</v>
      </c>
      <c r="C23" s="282"/>
      <c r="D23" s="149">
        <f t="shared" ref="D23:L23" si="3">D21+D17+D12</f>
        <v>698030</v>
      </c>
      <c r="E23" s="149">
        <f t="shared" si="3"/>
        <v>0</v>
      </c>
      <c r="F23" s="149">
        <f t="shared" si="3"/>
        <v>35000</v>
      </c>
      <c r="G23" s="149">
        <f t="shared" si="3"/>
        <v>733030</v>
      </c>
      <c r="H23" s="115">
        <f t="shared" si="3"/>
        <v>0</v>
      </c>
      <c r="I23" s="115">
        <f t="shared" si="3"/>
        <v>0</v>
      </c>
      <c r="J23" s="115">
        <f t="shared" si="3"/>
        <v>0</v>
      </c>
      <c r="K23" s="115">
        <f t="shared" si="3"/>
        <v>0</v>
      </c>
      <c r="L23" s="115">
        <f t="shared" si="3"/>
        <v>0</v>
      </c>
    </row>
    <row r="25" spans="1:12" x14ac:dyDescent="0.2">
      <c r="H25" s="117"/>
    </row>
    <row r="26" spans="1:12" x14ac:dyDescent="0.2">
      <c r="H26" s="117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L33" sqref="L33"/>
    </sheetView>
  </sheetViews>
  <sheetFormatPr defaultRowHeight="12.75" x14ac:dyDescent="0.2"/>
  <cols>
    <col min="1" max="1" width="3" style="68" customWidth="1"/>
    <col min="2" max="2" width="3.5703125" style="68" customWidth="1"/>
    <col min="3" max="3" width="40.5703125" style="68" customWidth="1"/>
    <col min="4" max="6" width="15.5703125" style="68" customWidth="1"/>
    <col min="7" max="7" width="40.140625" style="68" customWidth="1"/>
    <col min="8" max="16384" width="9.140625" style="68"/>
  </cols>
  <sheetData>
    <row r="1" spans="1:7" s="47" customFormat="1" ht="63" customHeight="1" x14ac:dyDescent="0.15">
      <c r="A1" s="150" t="s">
        <v>88</v>
      </c>
      <c r="B1" s="285" t="s">
        <v>231</v>
      </c>
      <c r="C1" s="286"/>
      <c r="D1" s="286"/>
      <c r="E1" s="286"/>
      <c r="F1" s="286"/>
      <c r="G1" s="151"/>
    </row>
    <row r="2" spans="1:7" s="47" customFormat="1" ht="15" customHeight="1" x14ac:dyDescent="0.15"/>
    <row r="3" spans="1:7" s="152" customFormat="1" ht="29.25" customHeight="1" x14ac:dyDescent="0.2">
      <c r="B3" s="283" t="s">
        <v>0</v>
      </c>
      <c r="C3" s="283"/>
      <c r="D3" s="153" t="s">
        <v>193</v>
      </c>
      <c r="E3" s="153" t="s">
        <v>195</v>
      </c>
      <c r="F3" s="248" t="s">
        <v>8</v>
      </c>
    </row>
    <row r="4" spans="1:7" s="152" customFormat="1" ht="18" customHeight="1" x14ac:dyDescent="0.2">
      <c r="B4" s="283"/>
      <c r="C4" s="283"/>
      <c r="D4" s="248" t="s">
        <v>202</v>
      </c>
      <c r="E4" s="248" t="s">
        <v>201</v>
      </c>
      <c r="F4" s="248" t="s">
        <v>43</v>
      </c>
    </row>
    <row r="5" spans="1:7" s="152" customFormat="1" ht="3" customHeight="1" x14ac:dyDescent="0.2">
      <c r="B5" s="155"/>
      <c r="C5" s="155"/>
      <c r="D5" s="156" t="s">
        <v>193</v>
      </c>
      <c r="E5" s="156" t="s">
        <v>195</v>
      </c>
      <c r="F5" s="157"/>
    </row>
    <row r="6" spans="1:7" s="152" customFormat="1" ht="24" customHeight="1" x14ac:dyDescent="0.2">
      <c r="B6" s="158" t="s">
        <v>204</v>
      </c>
      <c r="C6" s="159" t="s">
        <v>203</v>
      </c>
      <c r="D6" s="160" t="s">
        <v>202</v>
      </c>
      <c r="E6" s="160" t="s">
        <v>201</v>
      </c>
      <c r="F6" s="161"/>
    </row>
    <row r="7" spans="1:7" s="152" customFormat="1" ht="24" customHeight="1" x14ac:dyDescent="0.2">
      <c r="B7" s="162" t="s">
        <v>17</v>
      </c>
      <c r="C7" s="163" t="s">
        <v>200</v>
      </c>
      <c r="D7" s="164">
        <f>6559942.21+80000</f>
        <v>6639942.21</v>
      </c>
      <c r="E7" s="164">
        <f>22000+70000</f>
        <v>92000</v>
      </c>
      <c r="F7" s="164">
        <f>D7+E7</f>
        <v>6731942.21</v>
      </c>
    </row>
    <row r="8" spans="1:7" s="152" customFormat="1" ht="24" customHeight="1" x14ac:dyDescent="0.2">
      <c r="B8" s="165"/>
      <c r="C8" s="166" t="s">
        <v>199</v>
      </c>
      <c r="D8" s="167">
        <f>SUM(D7)</f>
        <v>6639942.21</v>
      </c>
      <c r="E8" s="167">
        <f>SUM(E7)</f>
        <v>92000</v>
      </c>
      <c r="F8" s="167">
        <f>SUM(F7)</f>
        <v>6731942.21</v>
      </c>
    </row>
    <row r="9" spans="1:7" s="152" customFormat="1" ht="11.25" x14ac:dyDescent="0.2"/>
    <row r="10" spans="1:7" s="152" customFormat="1" ht="11.25" x14ac:dyDescent="0.2">
      <c r="B10" s="168"/>
      <c r="C10" s="168"/>
      <c r="D10" s="169"/>
      <c r="E10" s="169"/>
      <c r="F10" s="169"/>
    </row>
    <row r="11" spans="1:7" s="152" customFormat="1" ht="11.25" x14ac:dyDescent="0.2">
      <c r="B11" s="284" t="s">
        <v>79</v>
      </c>
      <c r="C11" s="284"/>
      <c r="D11" s="170">
        <f>D8</f>
        <v>6639942.21</v>
      </c>
      <c r="E11" s="170">
        <f>E8</f>
        <v>92000</v>
      </c>
      <c r="F11" s="170">
        <f>F8</f>
        <v>6731942.21</v>
      </c>
    </row>
    <row r="16" spans="1:7" x14ac:dyDescent="0.2">
      <c r="D16" s="68" t="s">
        <v>88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O31" sqref="O31"/>
    </sheetView>
  </sheetViews>
  <sheetFormatPr defaultRowHeight="12.75" x14ac:dyDescent="0.2"/>
  <cols>
    <col min="1" max="1" width="3" style="68" customWidth="1"/>
    <col min="2" max="2" width="3.5703125" style="68" customWidth="1"/>
    <col min="3" max="3" width="40.5703125" style="68" customWidth="1"/>
    <col min="4" max="6" width="15.5703125" style="68" customWidth="1"/>
    <col min="7" max="7" width="40.140625" style="68" customWidth="1"/>
    <col min="8" max="16384" width="9.140625" style="68"/>
  </cols>
  <sheetData>
    <row r="1" spans="1:7" s="47" customFormat="1" ht="63" customHeight="1" x14ac:dyDescent="0.15">
      <c r="A1" s="150" t="s">
        <v>88</v>
      </c>
      <c r="B1" s="285" t="s">
        <v>237</v>
      </c>
      <c r="C1" s="286"/>
      <c r="D1" s="286"/>
      <c r="E1" s="286"/>
      <c r="F1" s="286"/>
      <c r="G1" s="151"/>
    </row>
    <row r="2" spans="1:7" s="47" customFormat="1" ht="15" customHeight="1" x14ac:dyDescent="0.15"/>
    <row r="3" spans="1:7" s="152" customFormat="1" ht="33" customHeight="1" x14ac:dyDescent="0.2">
      <c r="B3" s="283" t="s">
        <v>0</v>
      </c>
      <c r="C3" s="283"/>
      <c r="D3" s="153" t="s">
        <v>193</v>
      </c>
      <c r="E3" s="153" t="s">
        <v>195</v>
      </c>
      <c r="F3" s="154" t="s">
        <v>8</v>
      </c>
    </row>
    <row r="4" spans="1:7" s="152" customFormat="1" ht="18.75" customHeight="1" x14ac:dyDescent="0.2">
      <c r="B4" s="283"/>
      <c r="C4" s="283"/>
      <c r="D4" s="154" t="s">
        <v>202</v>
      </c>
      <c r="E4" s="154" t="s">
        <v>201</v>
      </c>
      <c r="F4" s="154" t="s">
        <v>43</v>
      </c>
    </row>
    <row r="5" spans="1:7" s="152" customFormat="1" ht="11.25" customHeight="1" x14ac:dyDescent="0.2">
      <c r="B5" s="155"/>
      <c r="C5" s="155"/>
      <c r="D5" s="156" t="s">
        <v>193</v>
      </c>
      <c r="E5" s="156" t="s">
        <v>195</v>
      </c>
      <c r="F5" s="157"/>
    </row>
    <row r="6" spans="1:7" s="152" customFormat="1" ht="18.75" customHeight="1" x14ac:dyDescent="0.2">
      <c r="B6" s="158" t="s">
        <v>204</v>
      </c>
      <c r="C6" s="159" t="s">
        <v>203</v>
      </c>
      <c r="D6" s="160" t="s">
        <v>202</v>
      </c>
      <c r="E6" s="160" t="s">
        <v>201</v>
      </c>
      <c r="F6" s="161"/>
    </row>
    <row r="7" spans="1:7" s="152" customFormat="1" ht="18.75" customHeight="1" x14ac:dyDescent="0.2">
      <c r="B7" s="162" t="s">
        <v>17</v>
      </c>
      <c r="C7" s="163" t="s">
        <v>200</v>
      </c>
      <c r="D7" s="164">
        <v>5704956.2699999996</v>
      </c>
      <c r="E7" s="164">
        <v>2000</v>
      </c>
      <c r="F7" s="164">
        <f>D7+E7</f>
        <v>5706956.2699999996</v>
      </c>
    </row>
    <row r="8" spans="1:7" s="152" customFormat="1" ht="18.75" customHeight="1" x14ac:dyDescent="0.2">
      <c r="B8" s="171"/>
      <c r="C8" s="166" t="s">
        <v>199</v>
      </c>
      <c r="D8" s="180">
        <v>5704956.2699999996</v>
      </c>
      <c r="E8" s="180">
        <v>2000</v>
      </c>
      <c r="F8" s="167">
        <f>SUM(F7)</f>
        <v>5706956.2699999996</v>
      </c>
    </row>
    <row r="9" spans="1:7" s="152" customFormat="1" ht="18" customHeight="1" x14ac:dyDescent="0.2"/>
    <row r="10" spans="1:7" s="152" customFormat="1" ht="18.75" hidden="1" customHeight="1" x14ac:dyDescent="0.2">
      <c r="B10" s="168"/>
      <c r="C10" s="168"/>
      <c r="D10" s="169"/>
      <c r="E10" s="169"/>
      <c r="F10" s="169"/>
    </row>
    <row r="11" spans="1:7" s="152" customFormat="1" ht="18.75" customHeight="1" x14ac:dyDescent="0.2">
      <c r="B11" s="284" t="s">
        <v>79</v>
      </c>
      <c r="C11" s="284"/>
      <c r="D11" s="170">
        <f>D8</f>
        <v>5704956.2699999996</v>
      </c>
      <c r="E11" s="170">
        <f>E8</f>
        <v>2000</v>
      </c>
      <c r="F11" s="170">
        <f>F8</f>
        <v>5706956.2699999996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>
      <selection activeCell="C37" sqref="C37"/>
    </sheetView>
  </sheetViews>
  <sheetFormatPr defaultRowHeight="12.75" x14ac:dyDescent="0.2"/>
  <cols>
    <col min="1" max="1" width="3" style="68" customWidth="1"/>
    <col min="2" max="2" width="3.5703125" style="68" customWidth="1"/>
    <col min="3" max="3" width="40.5703125" style="68" customWidth="1"/>
    <col min="4" max="6" width="15.5703125" style="68" customWidth="1"/>
    <col min="7" max="7" width="40.140625" style="68" customWidth="1"/>
    <col min="8" max="16384" width="9.140625" style="68"/>
  </cols>
  <sheetData>
    <row r="1" spans="1:7" s="47" customFormat="1" ht="63" customHeight="1" x14ac:dyDescent="0.15">
      <c r="A1" s="150" t="s">
        <v>88</v>
      </c>
      <c r="B1" s="285" t="s">
        <v>252</v>
      </c>
      <c r="C1" s="286"/>
      <c r="D1" s="286"/>
      <c r="E1" s="286"/>
      <c r="F1" s="286"/>
      <c r="G1" s="151"/>
    </row>
    <row r="2" spans="1:7" s="47" customFormat="1" ht="15" customHeight="1" x14ac:dyDescent="0.15"/>
    <row r="3" spans="1:7" s="152" customFormat="1" ht="37.5" customHeight="1" x14ac:dyDescent="0.2">
      <c r="B3" s="283" t="s">
        <v>0</v>
      </c>
      <c r="C3" s="283"/>
      <c r="D3" s="153" t="s">
        <v>193</v>
      </c>
      <c r="E3" s="153" t="s">
        <v>195</v>
      </c>
      <c r="F3" s="154" t="s">
        <v>8</v>
      </c>
    </row>
    <row r="4" spans="1:7" s="152" customFormat="1" ht="18" customHeight="1" x14ac:dyDescent="0.2">
      <c r="B4" s="283"/>
      <c r="C4" s="283"/>
      <c r="D4" s="154" t="s">
        <v>202</v>
      </c>
      <c r="E4" s="154" t="s">
        <v>201</v>
      </c>
      <c r="F4" s="154" t="s">
        <v>43</v>
      </c>
    </row>
    <row r="5" spans="1:7" s="152" customFormat="1" ht="3" customHeight="1" x14ac:dyDescent="0.2">
      <c r="B5" s="155"/>
      <c r="C5" s="155"/>
      <c r="D5" s="156" t="s">
        <v>193</v>
      </c>
      <c r="E5" s="156" t="s">
        <v>195</v>
      </c>
      <c r="F5" s="157"/>
    </row>
    <row r="6" spans="1:7" s="152" customFormat="1" ht="24.75" customHeight="1" x14ac:dyDescent="0.2">
      <c r="B6" s="158" t="s">
        <v>204</v>
      </c>
      <c r="C6" s="159" t="s">
        <v>203</v>
      </c>
      <c r="D6" s="160" t="s">
        <v>202</v>
      </c>
      <c r="E6" s="160" t="s">
        <v>201</v>
      </c>
      <c r="F6" s="161"/>
    </row>
    <row r="7" spans="1:7" s="152" customFormat="1" ht="24.75" customHeight="1" x14ac:dyDescent="0.2">
      <c r="B7" s="162" t="s">
        <v>17</v>
      </c>
      <c r="C7" s="163" t="s">
        <v>200</v>
      </c>
      <c r="D7" s="164">
        <v>5704509.9199999999</v>
      </c>
      <c r="E7" s="164">
        <v>2000</v>
      </c>
      <c r="F7" s="164">
        <f>D7+E7</f>
        <v>5706509.9199999999</v>
      </c>
    </row>
    <row r="8" spans="1:7" s="152" customFormat="1" ht="24.75" customHeight="1" x14ac:dyDescent="0.2">
      <c r="B8" s="171"/>
      <c r="C8" s="166" t="s">
        <v>199</v>
      </c>
      <c r="D8" s="167">
        <f>SUM(D7)</f>
        <v>5704509.9199999999</v>
      </c>
      <c r="E8" s="167">
        <f>SUM(E7)</f>
        <v>2000</v>
      </c>
      <c r="F8" s="167">
        <f>SUM(F7)</f>
        <v>5706509.9199999999</v>
      </c>
    </row>
    <row r="9" spans="1:7" s="152" customFormat="1" ht="11.25" x14ac:dyDescent="0.2"/>
    <row r="10" spans="1:7" s="152" customFormat="1" ht="11.25" x14ac:dyDescent="0.2">
      <c r="B10" s="168"/>
      <c r="C10" s="168"/>
      <c r="D10" s="169"/>
      <c r="E10" s="169"/>
      <c r="F10" s="169"/>
    </row>
    <row r="11" spans="1:7" s="152" customFormat="1" ht="11.25" x14ac:dyDescent="0.2">
      <c r="B11" s="284" t="s">
        <v>79</v>
      </c>
      <c r="C11" s="284"/>
      <c r="D11" s="170">
        <f>D8</f>
        <v>5704509.9199999999</v>
      </c>
      <c r="E11" s="170">
        <f>E8</f>
        <v>2000</v>
      </c>
      <c r="F11" s="170">
        <f>F8</f>
        <v>5706509.9199999999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 per categoria</vt:lpstr>
      <vt:lpstr>Riepilogo SPESE </vt:lpstr>
      <vt:lpstr> Macro CORRENTI 2023</vt:lpstr>
      <vt:lpstr>Macro CORRENTI 2024</vt:lpstr>
      <vt:lpstr>Macro CORRENTI 2025</vt:lpstr>
      <vt:lpstr>Macro CAPITALE 2023</vt:lpstr>
      <vt:lpstr>Macro CAPITALE 2024</vt:lpstr>
      <vt:lpstr>Macro CAPITALE 2025</vt:lpstr>
      <vt:lpstr>Macro Partite di giro 2023</vt:lpstr>
      <vt:lpstr>Macro Partite di giro 2024</vt:lpstr>
      <vt:lpstr>Macro Partite di giro 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Nenci Alessandra</cp:lastModifiedBy>
  <cp:lastPrinted>2023-04-12T08:31:07Z</cp:lastPrinted>
  <dcterms:created xsi:type="dcterms:W3CDTF">2020-12-14T13:36:05Z</dcterms:created>
  <dcterms:modified xsi:type="dcterms:W3CDTF">2023-09-15T05:51:48Z</dcterms:modified>
</cp:coreProperties>
</file>