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 tabRatio="877" activeTab="1"/>
  </bookViews>
  <sheets>
    <sheet name="Entrate per categoria" sheetId="7" r:id="rId1"/>
    <sheet name="Riepilogo SPESE " sheetId="8" r:id="rId2"/>
    <sheet name="Macro CORRENTI 2020" sheetId="1" r:id="rId3"/>
    <sheet name="Macro CORRENTI 2021" sheetId="2" r:id="rId4"/>
    <sheet name="Macro CORRENTI 2022" sheetId="3" r:id="rId5"/>
    <sheet name="Macro CAPITALE 2020" sheetId="4" r:id="rId6"/>
    <sheet name="Macro CAPITALE 2021" sheetId="5" r:id="rId7"/>
    <sheet name="Macro CAPITALE 2022" sheetId="6" r:id="rId8"/>
    <sheet name="Macro Partite di giro 2020" sheetId="10" r:id="rId9"/>
    <sheet name="Macro Partite di giro 2021" sheetId="11" r:id="rId10"/>
    <sheet name="Macro Partite di giro  2022" sheetId="12" r:id="rId11"/>
  </sheets>
  <definedNames>
    <definedName name="_xlnm.Print_Area" localSheetId="0">'Entrate per categoria'!$A$1:$I$69</definedName>
    <definedName name="_xlnm.Print_Area" localSheetId="5">'Macro CAPITALE 2020'!$B$1:$H$22</definedName>
    <definedName name="_xlnm.Print_Area" localSheetId="6">'Macro CAPITALE 2021'!$A$1:$H$22</definedName>
    <definedName name="_xlnm.Print_Area" localSheetId="7">'Macro CAPITALE 2022'!$A$1:$H$22</definedName>
    <definedName name="_xlnm.Print_Area" localSheetId="2">'Macro CORRENTI 2020'!$A$1:$K$59</definedName>
    <definedName name="_xlnm.Print_Area" localSheetId="3">'Macro CORRENTI 2021'!$A$1:$K$65</definedName>
    <definedName name="_xlnm.Print_Area" localSheetId="4">'Macro CORRENTI 2022'!$A$1:$K$62</definedName>
    <definedName name="_xlnm.Print_Area" localSheetId="10">'Macro Partite di giro  2022'!$A$1:$F$11</definedName>
    <definedName name="_xlnm.Print_Area" localSheetId="8">'Macro Partite di giro 2020'!$A$1:$F$11</definedName>
    <definedName name="_xlnm.Print_Area" localSheetId="9">'Macro Partite di giro 2021'!$A$1:$F$11</definedName>
    <definedName name="_xlnm.Print_Area" localSheetId="1">'Riepilogo SPESE '!$A$1:$G$34</definedName>
    <definedName name="_xlnm.Print_Titles" localSheetId="0">'Entrate per categoria'!$3:$5</definedName>
    <definedName name="_xlnm.Print_Titles" localSheetId="2">'Macro CORRENTI 2020'!$1:$3</definedName>
    <definedName name="_xlnm.Print_Titles" localSheetId="3">'Macro CORRENTI 2021'!$1:$3</definedName>
    <definedName name="_xlnm.Print_Titles" localSheetId="4">'Macro CORRENTI 2022'!$1:$3</definedName>
  </definedNames>
  <calcPr calcId="125725"/>
</workbook>
</file>

<file path=xl/calcChain.xml><?xml version="1.0" encoding="utf-8"?>
<calcChain xmlns="http://schemas.openxmlformats.org/spreadsheetml/2006/main">
  <c r="G18" i="1"/>
  <c r="F18"/>
  <c r="J53"/>
  <c r="E8"/>
  <c r="F19" i="3"/>
  <c r="G19"/>
  <c r="D8"/>
  <c r="G6"/>
  <c r="F19" i="2"/>
  <c r="G19"/>
  <c r="D8"/>
  <c r="G6"/>
  <c r="F35" i="7"/>
  <c r="J55" i="1"/>
  <c r="K55"/>
  <c r="E23"/>
  <c r="F23"/>
  <c r="G23"/>
  <c r="H23"/>
  <c r="I23"/>
  <c r="J23"/>
  <c r="D23"/>
  <c r="K22"/>
  <c r="K23" s="1"/>
  <c r="K23" i="2"/>
  <c r="K24" s="1"/>
  <c r="E24"/>
  <c r="F24"/>
  <c r="G24"/>
  <c r="H24"/>
  <c r="I24"/>
  <c r="J24"/>
  <c r="D24"/>
  <c r="G39" i="1"/>
  <c r="K39"/>
  <c r="G35"/>
  <c r="K35"/>
  <c r="F19"/>
  <c r="I12"/>
  <c r="I14" s="1"/>
  <c r="I59" s="1"/>
  <c r="I64" s="1"/>
  <c r="G13"/>
  <c r="G6"/>
  <c r="F12"/>
  <c r="F11"/>
  <c r="K11"/>
  <c r="F9"/>
  <c r="K9"/>
  <c r="F8"/>
  <c r="F7"/>
  <c r="F6"/>
  <c r="E6"/>
  <c r="E14" s="1"/>
  <c r="D8"/>
  <c r="F19" i="4"/>
  <c r="F20" s="1"/>
  <c r="F22" s="1"/>
  <c r="E14"/>
  <c r="D8"/>
  <c r="D10"/>
  <c r="D9"/>
  <c r="D7"/>
  <c r="F10" i="1"/>
  <c r="K10" s="1"/>
  <c r="F8" i="7"/>
  <c r="K53" i="1"/>
  <c r="J56"/>
  <c r="G7" i="4"/>
  <c r="H36" i="7"/>
  <c r="G36"/>
  <c r="H35"/>
  <c r="H34" s="1"/>
  <c r="H38" s="1"/>
  <c r="G35"/>
  <c r="F36"/>
  <c r="F34" s="1"/>
  <c r="F38" s="1"/>
  <c r="G44" i="1"/>
  <c r="K44"/>
  <c r="E41"/>
  <c r="F41"/>
  <c r="H41"/>
  <c r="I41"/>
  <c r="J41"/>
  <c r="D41"/>
  <c r="G6" i="7"/>
  <c r="F7"/>
  <c r="F6"/>
  <c r="E18" i="8"/>
  <c r="K19" i="2"/>
  <c r="G19" i="1"/>
  <c r="G40"/>
  <c r="K40"/>
  <c r="F13"/>
  <c r="E13"/>
  <c r="E12"/>
  <c r="D12"/>
  <c r="D8" i="12"/>
  <c r="D11"/>
  <c r="E8"/>
  <c r="E11"/>
  <c r="F8"/>
  <c r="F11"/>
  <c r="D8" i="11"/>
  <c r="D11"/>
  <c r="E8"/>
  <c r="F8"/>
  <c r="F11" s="1"/>
  <c r="E11"/>
  <c r="D8" i="10"/>
  <c r="E8"/>
  <c r="E11" s="1"/>
  <c r="F8"/>
  <c r="F11" s="1"/>
  <c r="D11"/>
  <c r="F29" i="8"/>
  <c r="E29"/>
  <c r="E31" s="1"/>
  <c r="E33" s="1"/>
  <c r="D29"/>
  <c r="F24"/>
  <c r="E24"/>
  <c r="D24"/>
  <c r="F18"/>
  <c r="D18"/>
  <c r="H62" i="7"/>
  <c r="G62"/>
  <c r="F62"/>
  <c r="H56"/>
  <c r="G56"/>
  <c r="F56"/>
  <c r="H48"/>
  <c r="G48"/>
  <c r="F48"/>
  <c r="H45"/>
  <c r="G45"/>
  <c r="F45"/>
  <c r="H42"/>
  <c r="G42"/>
  <c r="F42"/>
  <c r="H31"/>
  <c r="G31"/>
  <c r="F31"/>
  <c r="H28"/>
  <c r="G28"/>
  <c r="F28"/>
  <c r="H24"/>
  <c r="G24"/>
  <c r="F24"/>
  <c r="H17"/>
  <c r="G17"/>
  <c r="F17"/>
  <c r="H12"/>
  <c r="G12"/>
  <c r="F12"/>
  <c r="D20" i="6"/>
  <c r="E20"/>
  <c r="E22" s="1"/>
  <c r="F20"/>
  <c r="G20"/>
  <c r="G22" s="1"/>
  <c r="G19"/>
  <c r="G15"/>
  <c r="G14"/>
  <c r="E16"/>
  <c r="F16"/>
  <c r="F22" s="1"/>
  <c r="D16"/>
  <c r="D22" s="1"/>
  <c r="E11"/>
  <c r="F11"/>
  <c r="D11"/>
  <c r="G8"/>
  <c r="G9"/>
  <c r="G10"/>
  <c r="G7"/>
  <c r="G11" s="1"/>
  <c r="G19" i="5"/>
  <c r="G20" s="1"/>
  <c r="G22" s="1"/>
  <c r="D20"/>
  <c r="D22" s="1"/>
  <c r="E20"/>
  <c r="E22" s="1"/>
  <c r="F20"/>
  <c r="F22" s="1"/>
  <c r="G14"/>
  <c r="G15"/>
  <c r="G8"/>
  <c r="G9"/>
  <c r="G10"/>
  <c r="G7"/>
  <c r="E11"/>
  <c r="F11"/>
  <c r="D11"/>
  <c r="E20" i="4"/>
  <c r="D20"/>
  <c r="E16"/>
  <c r="E22" s="1"/>
  <c r="F16"/>
  <c r="D16"/>
  <c r="G14"/>
  <c r="G16" s="1"/>
  <c r="G15"/>
  <c r="G8"/>
  <c r="G11" s="1"/>
  <c r="G9"/>
  <c r="G10"/>
  <c r="E11"/>
  <c r="F11"/>
  <c r="E59" i="3"/>
  <c r="F59"/>
  <c r="G59"/>
  <c r="H59"/>
  <c r="I59"/>
  <c r="J59"/>
  <c r="D59"/>
  <c r="K59" s="1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E20"/>
  <c r="F20"/>
  <c r="G20"/>
  <c r="H20"/>
  <c r="I20"/>
  <c r="J20"/>
  <c r="D20"/>
  <c r="K20" s="1"/>
  <c r="E14"/>
  <c r="F14"/>
  <c r="G14"/>
  <c r="H14"/>
  <c r="I14"/>
  <c r="J14"/>
  <c r="D14"/>
  <c r="D62"/>
  <c r="D68" s="1"/>
  <c r="K6"/>
  <c r="K7"/>
  <c r="K8"/>
  <c r="K9"/>
  <c r="K10"/>
  <c r="K11"/>
  <c r="K12"/>
  <c r="K13"/>
  <c r="K18"/>
  <c r="K19"/>
  <c r="K29"/>
  <c r="K30"/>
  <c r="K35"/>
  <c r="K40"/>
  <c r="K45"/>
  <c r="K46"/>
  <c r="K51"/>
  <c r="K56"/>
  <c r="K57"/>
  <c r="K58"/>
  <c r="H62"/>
  <c r="H68" s="1"/>
  <c r="H14" i="1"/>
  <c r="J14"/>
  <c r="E19"/>
  <c r="H19"/>
  <c r="I19"/>
  <c r="J19"/>
  <c r="D19"/>
  <c r="E27"/>
  <c r="F27"/>
  <c r="G27"/>
  <c r="H27"/>
  <c r="I27"/>
  <c r="J27"/>
  <c r="D27"/>
  <c r="E32"/>
  <c r="F32"/>
  <c r="G32"/>
  <c r="H32"/>
  <c r="I32"/>
  <c r="J32"/>
  <c r="D32"/>
  <c r="E36"/>
  <c r="F36"/>
  <c r="H36"/>
  <c r="I36"/>
  <c r="J36"/>
  <c r="D36"/>
  <c r="E46"/>
  <c r="F46"/>
  <c r="H46"/>
  <c r="I46"/>
  <c r="J46"/>
  <c r="D46"/>
  <c r="E50"/>
  <c r="F50"/>
  <c r="G50"/>
  <c r="H50"/>
  <c r="I50"/>
  <c r="J50"/>
  <c r="D50"/>
  <c r="E56"/>
  <c r="F56"/>
  <c r="G56"/>
  <c r="H56"/>
  <c r="I56"/>
  <c r="D56"/>
  <c r="E62" i="2"/>
  <c r="E65" s="1"/>
  <c r="E70" s="1"/>
  <c r="F62"/>
  <c r="G62"/>
  <c r="H62"/>
  <c r="H65" s="1"/>
  <c r="H70" s="1"/>
  <c r="I62"/>
  <c r="I65" s="1"/>
  <c r="I70" s="1"/>
  <c r="J62"/>
  <c r="J65" s="1"/>
  <c r="J70" s="1"/>
  <c r="D62"/>
  <c r="E55"/>
  <c r="F55"/>
  <c r="G55"/>
  <c r="H55"/>
  <c r="I55"/>
  <c r="J55"/>
  <c r="D55"/>
  <c r="E50"/>
  <c r="F50"/>
  <c r="G50"/>
  <c r="H50"/>
  <c r="I50"/>
  <c r="J50"/>
  <c r="D50"/>
  <c r="E44"/>
  <c r="F44"/>
  <c r="G44"/>
  <c r="H44"/>
  <c r="I44"/>
  <c r="J44"/>
  <c r="D44"/>
  <c r="E39"/>
  <c r="F39"/>
  <c r="G39"/>
  <c r="H39"/>
  <c r="I39"/>
  <c r="J39"/>
  <c r="D39"/>
  <c r="K39" s="1"/>
  <c r="K65" s="1"/>
  <c r="K70" s="1"/>
  <c r="E34"/>
  <c r="F34"/>
  <c r="G34"/>
  <c r="H34"/>
  <c r="I34"/>
  <c r="J34"/>
  <c r="D34"/>
  <c r="E28"/>
  <c r="F28"/>
  <c r="G28"/>
  <c r="H28"/>
  <c r="I28"/>
  <c r="J28"/>
  <c r="D28"/>
  <c r="E20"/>
  <c r="G20"/>
  <c r="H20"/>
  <c r="I20"/>
  <c r="J20"/>
  <c r="D20"/>
  <c r="E14"/>
  <c r="F14"/>
  <c r="G14"/>
  <c r="H14"/>
  <c r="I14"/>
  <c r="J14"/>
  <c r="D14"/>
  <c r="D65" s="1"/>
  <c r="D70" s="1"/>
  <c r="K6"/>
  <c r="K7"/>
  <c r="K8"/>
  <c r="K9"/>
  <c r="K10"/>
  <c r="K11"/>
  <c r="K12"/>
  <c r="K13"/>
  <c r="K18"/>
  <c r="K27"/>
  <c r="K32"/>
  <c r="K33"/>
  <c r="K38"/>
  <c r="K43"/>
  <c r="K48"/>
  <c r="K49"/>
  <c r="K54"/>
  <c r="K59"/>
  <c r="K60"/>
  <c r="K61"/>
  <c r="K54" i="1"/>
  <c r="K49"/>
  <c r="K45"/>
  <c r="K30"/>
  <c r="K31"/>
  <c r="K26"/>
  <c r="K17"/>
  <c r="F62" i="3"/>
  <c r="F68"/>
  <c r="K52"/>
  <c r="K47"/>
  <c r="K41"/>
  <c r="J62"/>
  <c r="J68" s="1"/>
  <c r="K36"/>
  <c r="K31"/>
  <c r="G62"/>
  <c r="G68" s="1"/>
  <c r="E62"/>
  <c r="E68" s="1"/>
  <c r="I62"/>
  <c r="I68" s="1"/>
  <c r="G16" i="6"/>
  <c r="G16" i="5"/>
  <c r="G11"/>
  <c r="F20" i="7"/>
  <c r="F52"/>
  <c r="H20"/>
  <c r="H52"/>
  <c r="H65"/>
  <c r="H67" s="1"/>
  <c r="H69" s="1"/>
  <c r="G65"/>
  <c r="G20"/>
  <c r="G52"/>
  <c r="F65"/>
  <c r="F67" s="1"/>
  <c r="F69" s="1"/>
  <c r="F31" i="8"/>
  <c r="F33"/>
  <c r="F20" i="2"/>
  <c r="F65"/>
  <c r="G34" i="7"/>
  <c r="G38"/>
  <c r="G67" s="1"/>
  <c r="G69" s="1"/>
  <c r="D11" i="4"/>
  <c r="D22"/>
  <c r="K14" i="3"/>
  <c r="F70" i="2"/>
  <c r="G65"/>
  <c r="D31" i="8"/>
  <c r="D33" s="1"/>
  <c r="K34" i="2"/>
  <c r="K14"/>
  <c r="K20"/>
  <c r="K55"/>
  <c r="K28"/>
  <c r="K44"/>
  <c r="K50"/>
  <c r="G70"/>
  <c r="K62"/>
  <c r="G19" i="4"/>
  <c r="G20"/>
  <c r="G22" s="1"/>
  <c r="G36" i="1"/>
  <c r="K36" s="1"/>
  <c r="K12"/>
  <c r="G41"/>
  <c r="K6"/>
  <c r="F14"/>
  <c r="J59"/>
  <c r="J64" s="1"/>
  <c r="K32"/>
  <c r="K41"/>
  <c r="G14"/>
  <c r="K50"/>
  <c r="K27"/>
  <c r="D14"/>
  <c r="H59"/>
  <c r="H64" s="1"/>
  <c r="F59"/>
  <c r="F64" s="1"/>
  <c r="K7"/>
  <c r="K13"/>
  <c r="K18"/>
  <c r="D59"/>
  <c r="D64"/>
  <c r="G46"/>
  <c r="K56"/>
  <c r="G59"/>
  <c r="G64"/>
  <c r="K46"/>
  <c r="K19"/>
  <c r="K8"/>
  <c r="K14" l="1"/>
  <c r="E59"/>
  <c r="E64" s="1"/>
  <c r="K59"/>
  <c r="K64" s="1"/>
  <c r="K62" i="3"/>
  <c r="K68" s="1"/>
</calcChain>
</file>

<file path=xl/sharedStrings.xml><?xml version="1.0" encoding="utf-8"?>
<sst xmlns="http://schemas.openxmlformats.org/spreadsheetml/2006/main" count="1424" uniqueCount="228">
  <si>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</si>
  <si>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</si>
  <si>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</si>
  <si>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</si>
  <si>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</si>
  <si>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</si>
  <si>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</si>
  <si>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</si>
  <si>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</si>
  <si>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</si>
  <si>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</si>
  <si>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</si>
  <si>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</si>
  <si>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</si>
  <si>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</si>
  <si>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</si>
  <si>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</si>
  <si>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</si>
  <si>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</si>
  <si>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</si>
  <si>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</si>
  <si>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</si>
  <si>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</si>
  <si>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</si>
  <si>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</si>
  <si>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</si>
  <si>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</si>
  <si>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</si>
  <si>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</si>
  <si>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</si>
  <si>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</si>
  <si>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</si>
  <si>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</si>
  <si>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</si>
  <si>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</si>
  <si>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</si>
  <si>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</si>
  <si>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</si>
  <si>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</si>
  <si>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</si>
  <si>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</si>
  <si>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</si>
  <si>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</si>
  <si>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</si>
  <si>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</si>
  <si>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</si>
  <si>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</si>
  <si>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</si>
  <si>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</si>
  <si>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</si>
  <si>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</si>
  <si>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</si>
  <si>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</si>
  <si>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</si>
  <si>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</si>
  <si>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</si>
  <si>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</si>
  <si>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</si>
  <si>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</si>
  <si>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</si>
  <si>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</si>
  <si>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</si>
  <si>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</si>
  <si>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</si>
  <si>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</si>
  <si>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</si>
  <si>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</si>
  <si>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</si>
  <si>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</si>
  <si>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</si>
  <si>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</si>
  <si>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</si>
  <si>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</si>
  <si>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</si>
  <si>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</si>
  <si>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</si>
  <si>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</si>
  <si>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</si>
  <si>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</si>
  <si>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</si>
  <si>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2020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</si>
  <si>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</si>
  <si>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</si>
  <si>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SPESE PER MISSIONI, PROGRAMMI E MACROAGGREGATI
SPESE IN CONTO CAPITALE E SPESE PER INCREMENTO DI ATTIVITA' FINANZIARIE
PREVISIONI DI COMPETENZA
Esercizio finanziario 2020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</si>
  <si>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</si>
  <si>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</si>
  <si>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</si>
  <si>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</si>
  <si>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</si>
  <si>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</si>
  <si>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</si>
  <si>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</si>
  <si>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</si>
  <si>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</si>
  <si>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</si>
  <si>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</si>
  <si>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2020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</si>
  <si>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</si>
  <si>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</si>
  <si>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</si>
  <si>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</si>
  <si>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</si>
  <si>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</si>
  <si>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</si>
  <si>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</si>
  <si>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</si>
  <si>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</si>
  <si>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</si>
  <si>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</si>
  <si>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</si>
  <si>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</si>
  <si>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</si>
  <si>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</si>
  <si>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</si>
  <si>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</si>
  <si>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</si>
  <si>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</si>
  <si>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</si>
  <si>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</si>
  <si>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</si>
  <si>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</si>
  <si>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</si>
  <si>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</si>
  <si>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</si>
  <si>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</si>
  <si>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</si>
  <si>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</si>
  <si>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</si>
  <si>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</si>
  <si>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</si>
  <si>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</si>
  <si>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</si>
  <si>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</si>
  <si>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</si>
  <si>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</si>
  <si>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</si>
  <si>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</si>
  <si>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</si>
  <si>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</si>
  <si>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</si>
  <si>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</si>
  <si>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</si>
  <si>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</si>
  <si>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</si>
  <si>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</si>
  <si>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</si>
  <si>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</si>
  <si>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</si>
  <si>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</si>
  <si>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</si>
  <si>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</si>
  <si>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</si>
  <si>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</si>
  <si>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</si>
  <si>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</si>
  <si>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</si>
  <si>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</si>
  <si>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</si>
  <si>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</si>
  <si>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</si>
  <si>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</si>
  <si>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</si>
  <si>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</si>
  <si>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</si>
  <si>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</si>
  <si>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</si>
  <si>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</si>
  <si>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</si>
  <si>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</si>
  <si>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</si>
  <si>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</si>
  <si>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</si>
  <si>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</si>
  <si>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</si>
  <si>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</si>
  <si>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</si>
  <si>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</si>
  <si>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2020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</si>
  <si>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</si>
  <si>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</si>
  <si>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</si>
  <si>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</si>
  <si>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</si>
  <si>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</si>
  <si>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</si>
  <si>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</si>
  <si>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</si>
  <si>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</si>
  <si>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</si>
  <si>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</si>
  <si>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</si>
  <si>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</si>
  <si>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</si>
  <si>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</si>
  <si>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</si>
  <si>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</si>
  <si>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</si>
  <si>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</si>
  <si>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</si>
  <si>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</si>
  <si>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</si>
  <si>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</si>
  <si>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</si>
  <si>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</si>
  <si>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</si>
  <si>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</si>
  <si>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</si>
  <si>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</si>
  <si>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</si>
  <si>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</si>
  <si>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</si>
  <si>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</si>
  <si>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</si>
  <si>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</si>
  <si>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</si>
  <si>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</si>
  <si>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</si>
  <si>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2020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</si>
  <si>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</si>
  <si>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</si>
  <si>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</si>
  <si>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</si>
  <si>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</si>
  <si>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Allegato B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</si>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</sst>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5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54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2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2" fillId="0" borderId="0" xfId="2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left" vertical="center" wrapText="1"/>
    </xf>
    <xf numFmtId="4" fontId="3" fillId="2" borderId="3" xfId="2" applyNumberFormat="1" applyFont="1" applyFill="1" applyBorder="1" applyAlignment="1">
      <alignment horizontal="right" vertical="center"/>
    </xf>
    <xf numFmtId="4" fontId="3" fillId="2" borderId="6" xfId="2" applyNumberFormat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left" vertical="center"/>
    </xf>
    <xf numFmtId="4" fontId="4" fillId="2" borderId="4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0" borderId="0" xfId="2" applyAlignment="1">
      <alignment wrapText="1"/>
    </xf>
    <xf numFmtId="0" fontId="14" fillId="2" borderId="0" xfId="2" applyFont="1" applyFill="1" applyAlignment="1">
      <alignment horizontal="left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3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4" fontId="14" fillId="2" borderId="3" xfId="2" applyNumberFormat="1" applyFont="1" applyFill="1" applyBorder="1" applyAlignment="1">
      <alignment horizontal="right" vertical="center"/>
    </xf>
    <xf numFmtId="4" fontId="14" fillId="2" borderId="6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4" xfId="2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right" vertical="center"/>
    </xf>
    <xf numFmtId="4" fontId="9" fillId="2" borderId="7" xfId="2" applyNumberFormat="1" applyFont="1" applyFill="1" applyBorder="1" applyAlignment="1">
      <alignment horizontal="right" vertical="center"/>
    </xf>
    <xf numFmtId="4" fontId="9" fillId="2" borderId="1" xfId="2" applyNumberFormat="1" applyFont="1" applyFill="1" applyBorder="1" applyAlignment="1">
      <alignment horizontal="right" vertical="center"/>
    </xf>
    <xf numFmtId="0" fontId="16" fillId="2" borderId="0" xfId="2" applyFont="1" applyFill="1" applyAlignment="1">
      <alignment horizontal="left" vertical="center" wrapText="1"/>
    </xf>
    <xf numFmtId="49" fontId="16" fillId="2" borderId="2" xfId="2" applyNumberFormat="1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4" fontId="14" fillId="3" borderId="1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4" fontId="14" fillId="3" borderId="13" xfId="0" applyNumberFormat="1" applyFont="1" applyFill="1" applyBorder="1" applyAlignment="1">
      <alignment vertical="center"/>
    </xf>
    <xf numFmtId="4" fontId="14" fillId="3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right" vertical="center" wrapText="1"/>
    </xf>
    <xf numFmtId="164" fontId="9" fillId="3" borderId="17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16" xfId="0" applyFont="1" applyFill="1" applyBorder="1" applyAlignment="1">
      <alignment horizontal="left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49" fontId="21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1" fillId="2" borderId="17" xfId="0" applyFont="1" applyFill="1" applyBorder="1" applyAlignment="1">
      <alignment horizontal="center" vertical="center"/>
    </xf>
    <xf numFmtId="49" fontId="21" fillId="2" borderId="18" xfId="0" applyNumberFormat="1" applyFont="1" applyFill="1" applyBorder="1" applyAlignment="1">
      <alignment horizontal="left" vertical="center"/>
    </xf>
    <xf numFmtId="4" fontId="21" fillId="2" borderId="17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/>
    </xf>
    <xf numFmtId="49" fontId="25" fillId="2" borderId="2" xfId="0" applyNumberFormat="1" applyFont="1" applyFill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4" fontId="21" fillId="2" borderId="4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4" fontId="21" fillId="2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2" fillId="2" borderId="17" xfId="0" applyFont="1" applyFill="1" applyBorder="1" applyAlignment="1">
      <alignment horizontal="right" vertical="center"/>
    </xf>
    <xf numFmtId="49" fontId="22" fillId="2" borderId="18" xfId="0" applyNumberFormat="1" applyFont="1" applyFill="1" applyBorder="1" applyAlignment="1">
      <alignment horizontal="right" vertical="center"/>
    </xf>
    <xf numFmtId="164" fontId="21" fillId="2" borderId="1" xfId="1" applyFont="1" applyFill="1" applyBorder="1" applyAlignment="1">
      <alignment horizontal="right" vertical="center"/>
    </xf>
    <xf numFmtId="0" fontId="29" fillId="2" borderId="0" xfId="0" applyFont="1" applyFill="1" applyAlignment="1">
      <alignment horizontal="left"/>
    </xf>
    <xf numFmtId="4" fontId="30" fillId="2" borderId="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right" vertical="center"/>
    </xf>
    <xf numFmtId="4" fontId="30" fillId="2" borderId="4" xfId="0" applyNumberFormat="1" applyFont="1" applyFill="1" applyBorder="1" applyAlignment="1">
      <alignment horizontal="right" vertical="center"/>
    </xf>
    <xf numFmtId="49" fontId="31" fillId="2" borderId="4" xfId="0" applyNumberFormat="1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9" fontId="29" fillId="2" borderId="3" xfId="0" applyNumberFormat="1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right" vertical="center"/>
    </xf>
    <xf numFmtId="49" fontId="32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49" fontId="32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9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 vertical="center"/>
    </xf>
    <xf numFmtId="49" fontId="25" fillId="2" borderId="20" xfId="0" applyNumberFormat="1" applyFont="1" applyFill="1" applyBorder="1" applyAlignment="1">
      <alignment horizontal="left" vertical="center"/>
    </xf>
    <xf numFmtId="49" fontId="9" fillId="3" borderId="21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/>
    </xf>
    <xf numFmtId="4" fontId="14" fillId="3" borderId="22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24" xfId="0" applyNumberFormat="1" applyFont="1" applyFill="1" applyBorder="1" applyAlignment="1">
      <alignment vertical="center"/>
    </xf>
    <xf numFmtId="164" fontId="9" fillId="3" borderId="25" xfId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14" fillId="3" borderId="26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9" fillId="3" borderId="28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left"/>
    </xf>
    <xf numFmtId="164" fontId="9" fillId="3" borderId="29" xfId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" fontId="9" fillId="3" borderId="30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vertical="center" wrapText="1"/>
    </xf>
    <xf numFmtId="4" fontId="14" fillId="3" borderId="32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vertical="center" wrapText="1"/>
    </xf>
    <xf numFmtId="4" fontId="14" fillId="3" borderId="35" xfId="0" applyNumberFormat="1" applyFont="1" applyFill="1" applyBorder="1" applyAlignment="1">
      <alignment vertical="center"/>
    </xf>
    <xf numFmtId="0" fontId="14" fillId="3" borderId="36" xfId="0" applyFont="1" applyFill="1" applyBorder="1" applyAlignment="1">
      <alignment horizontal="right" vertical="center"/>
    </xf>
    <xf numFmtId="0" fontId="14" fillId="3" borderId="37" xfId="0" applyFont="1" applyFill="1" applyBorder="1" applyAlignment="1">
      <alignment horizontal="left" vertical="center"/>
    </xf>
    <xf numFmtId="4" fontId="8" fillId="0" borderId="0" xfId="0" applyNumberFormat="1" applyFont="1"/>
    <xf numFmtId="164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4" fontId="8" fillId="0" borderId="0" xfId="0" applyNumberFormat="1" applyFont="1" applyAlignment="1">
      <alignment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4" fontId="23" fillId="2" borderId="0" xfId="1" applyFont="1" applyFill="1" applyAlignment="1">
      <alignment horizontal="left"/>
    </xf>
    <xf numFmtId="164" fontId="14" fillId="2" borderId="0" xfId="1" applyFont="1" applyFill="1" applyAlignment="1">
      <alignment horizontal="left"/>
    </xf>
    <xf numFmtId="0" fontId="9" fillId="2" borderId="34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6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12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15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6" fillId="2" borderId="17" xfId="2" applyNumberFormat="1" applyFont="1" applyFill="1" applyBorder="1" applyAlignment="1">
      <alignment horizontal="right" vertical="center"/>
    </xf>
    <xf numFmtId="49" fontId="6" fillId="2" borderId="18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6" fillId="2" borderId="17" xfId="2" applyNumberFormat="1" applyFont="1" applyFill="1" applyBorder="1" applyAlignment="1">
      <alignment horizontal="right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topLeftCell="A25" zoomScale="80" zoomScaleNormal="90" zoomScaleSheetLayoutView="80" workbookViewId="0">
      <selection activeCell="G35" sqref="G35"/>
    </sheetView>
  </sheetViews>
  <sheetFormatPr defaultColWidth="9.109375" defaultRowHeight="13.2"/>
  <cols>
    <col min="1" max="1" width="1.44140625" style="126" customWidth="1"/>
    <col min="2" max="2" width="2.33203125" style="126" customWidth="1"/>
    <col min="3" max="3" width="12.33203125" style="126" customWidth="1"/>
    <col min="4" max="4" width="3.88671875" style="126" customWidth="1"/>
    <col min="5" max="5" width="70.44140625" style="127" customWidth="1"/>
    <col min="6" max="8" width="29.33203125" style="128" customWidth="1"/>
    <col min="9" max="9" width="9.109375" style="126"/>
    <col min="10" max="10" width="19.6640625" style="126" customWidth="1"/>
    <col min="11" max="11" width="13.33203125" style="126" customWidth="1"/>
    <col min="12" max="16384" width="9.109375" style="126"/>
  </cols>
  <sheetData>
    <row r="1" spans="1:8" ht="15.6">
      <c r="H1" s="213" t="s">
        <v>223</v>
      </c>
    </row>
    <row r="2" spans="1:8" s="87" customFormat="1" ht="30" customHeight="1">
      <c r="C2" s="222" t="s">
        <v>220</v>
      </c>
      <c r="D2" s="222"/>
      <c r="E2" s="222"/>
      <c r="F2" s="222"/>
      <c r="G2" s="222"/>
      <c r="H2" s="222"/>
    </row>
    <row r="3" spans="1:8" s="87" customFormat="1" ht="54.75" customHeight="1">
      <c r="A3" s="88"/>
      <c r="B3" s="88"/>
      <c r="C3" s="89" t="s">
        <v>221</v>
      </c>
      <c r="D3" s="89"/>
      <c r="E3" s="90" t="s">
        <v>95</v>
      </c>
      <c r="F3" s="91" t="s">
        <v>96</v>
      </c>
      <c r="G3" s="91" t="s">
        <v>97</v>
      </c>
      <c r="H3" s="91" t="s">
        <v>98</v>
      </c>
    </row>
    <row r="4" spans="1:8" s="87" customFormat="1" ht="25.5" customHeight="1">
      <c r="A4" s="88"/>
      <c r="B4" s="88"/>
      <c r="C4" s="89"/>
      <c r="D4" s="89"/>
      <c r="E4" s="90"/>
      <c r="F4" s="92" t="s">
        <v>8</v>
      </c>
      <c r="G4" s="92" t="s">
        <v>8</v>
      </c>
      <c r="H4" s="183" t="s">
        <v>8</v>
      </c>
    </row>
    <row r="5" spans="1:8" s="87" customFormat="1">
      <c r="E5" s="93"/>
      <c r="F5" s="94"/>
      <c r="G5" s="94"/>
      <c r="H5" s="184"/>
    </row>
    <row r="6" spans="1:8" s="87" customFormat="1">
      <c r="A6" s="95"/>
      <c r="B6" s="95"/>
      <c r="C6" s="227" t="s">
        <v>94</v>
      </c>
      <c r="D6" s="227"/>
      <c r="E6" s="204" t="s">
        <v>99</v>
      </c>
      <c r="F6" s="205">
        <f>806.38+119941.05+4200</f>
        <v>124947.43000000001</v>
      </c>
      <c r="G6" s="193">
        <f>591.92+131.5</f>
        <v>723.42</v>
      </c>
      <c r="H6" s="206">
        <v>0</v>
      </c>
    </row>
    <row r="7" spans="1:8" s="87" customFormat="1">
      <c r="C7" s="228"/>
      <c r="D7" s="228"/>
      <c r="E7" s="96" t="s">
        <v>100</v>
      </c>
      <c r="F7" s="110">
        <f>186300+2464.4</f>
        <v>188764.4</v>
      </c>
      <c r="G7" s="97">
        <v>0</v>
      </c>
      <c r="H7" s="185">
        <v>0</v>
      </c>
    </row>
    <row r="8" spans="1:8" s="87" customFormat="1" ht="22.5" customHeight="1">
      <c r="C8" s="229"/>
      <c r="D8" s="229"/>
      <c r="E8" s="207" t="s">
        <v>222</v>
      </c>
      <c r="F8" s="208">
        <f>3542918.47+2560759.55</f>
        <v>6103678.0199999996</v>
      </c>
      <c r="G8" s="209"/>
      <c r="H8" s="210"/>
    </row>
    <row r="9" spans="1:8" s="87" customFormat="1">
      <c r="E9" s="93"/>
      <c r="F9" s="94"/>
      <c r="G9" s="194"/>
      <c r="H9" s="184"/>
    </row>
    <row r="10" spans="1:8" s="87" customFormat="1">
      <c r="A10" s="224"/>
      <c r="B10" s="224"/>
      <c r="C10" s="98"/>
      <c r="D10" s="98"/>
      <c r="E10" s="99" t="s">
        <v>101</v>
      </c>
      <c r="F10" s="100"/>
      <c r="G10" s="195"/>
      <c r="H10" s="186"/>
    </row>
    <row r="11" spans="1:8" s="87" customFormat="1">
      <c r="A11" s="224"/>
      <c r="B11" s="224"/>
      <c r="C11" s="101"/>
      <c r="D11" s="101"/>
      <c r="E11" s="102"/>
      <c r="F11" s="103"/>
      <c r="G11" s="196"/>
      <c r="H11" s="187"/>
    </row>
    <row r="12" spans="1:8" s="87" customFormat="1">
      <c r="A12" s="224"/>
      <c r="B12" s="224"/>
      <c r="C12" s="104" t="s">
        <v>102</v>
      </c>
      <c r="D12" s="104"/>
      <c r="E12" s="105" t="s">
        <v>103</v>
      </c>
      <c r="F12" s="106">
        <f>F13+F14+F15</f>
        <v>24452677.75</v>
      </c>
      <c r="G12" s="197">
        <f>G13+G14+G15</f>
        <v>22585745.080000002</v>
      </c>
      <c r="H12" s="189">
        <f>H13+H14+H15</f>
        <v>22440612</v>
      </c>
    </row>
    <row r="13" spans="1:8" s="87" customFormat="1">
      <c r="A13" s="226" t="s">
        <v>104</v>
      </c>
      <c r="B13" s="226"/>
      <c r="C13" s="107" t="s">
        <v>105</v>
      </c>
      <c r="D13" s="107"/>
      <c r="E13" s="108" t="s">
        <v>106</v>
      </c>
      <c r="F13" s="109">
        <v>172676.07</v>
      </c>
      <c r="G13" s="97">
        <v>172676.07</v>
      </c>
      <c r="H13" s="185">
        <v>172676.07</v>
      </c>
    </row>
    <row r="14" spans="1:8" s="87" customFormat="1">
      <c r="A14" s="225"/>
      <c r="B14" s="225"/>
      <c r="C14" s="107" t="s">
        <v>107</v>
      </c>
      <c r="D14" s="107"/>
      <c r="E14" s="108" t="s">
        <v>108</v>
      </c>
      <c r="F14" s="109">
        <v>15000</v>
      </c>
      <c r="G14" s="97">
        <v>15000</v>
      </c>
      <c r="H14" s="185">
        <v>15000</v>
      </c>
    </row>
    <row r="15" spans="1:8" s="87" customFormat="1">
      <c r="A15" s="225"/>
      <c r="B15" s="225"/>
      <c r="C15" s="107" t="s">
        <v>109</v>
      </c>
      <c r="D15" s="107"/>
      <c r="E15" s="108" t="s">
        <v>110</v>
      </c>
      <c r="F15" s="109">
        <v>24265001.68</v>
      </c>
      <c r="G15" s="97">
        <v>22398069.010000002</v>
      </c>
      <c r="H15" s="185">
        <v>22252935.93</v>
      </c>
    </row>
    <row r="16" spans="1:8" s="87" customFormat="1">
      <c r="A16" s="223"/>
      <c r="B16" s="223"/>
      <c r="C16" s="111"/>
      <c r="D16" s="111"/>
      <c r="E16" s="112"/>
      <c r="F16" s="113"/>
      <c r="G16" s="198"/>
      <c r="H16" s="188"/>
    </row>
    <row r="17" spans="1:8" s="87" customFormat="1">
      <c r="A17" s="224"/>
      <c r="B17" s="224"/>
      <c r="C17" s="104" t="s">
        <v>111</v>
      </c>
      <c r="D17" s="104"/>
      <c r="E17" s="105" t="s">
        <v>112</v>
      </c>
      <c r="F17" s="106">
        <f>F18</f>
        <v>5500</v>
      </c>
      <c r="G17" s="197">
        <f>G18</f>
        <v>5500</v>
      </c>
      <c r="H17" s="189">
        <f>H18</f>
        <v>5500</v>
      </c>
    </row>
    <row r="18" spans="1:8" s="87" customFormat="1">
      <c r="A18" s="225"/>
      <c r="B18" s="225"/>
      <c r="C18" s="107" t="s">
        <v>113</v>
      </c>
      <c r="D18" s="107"/>
      <c r="E18" s="108" t="s">
        <v>114</v>
      </c>
      <c r="F18" s="109">
        <v>5500</v>
      </c>
      <c r="G18" s="97">
        <v>5500</v>
      </c>
      <c r="H18" s="185">
        <v>5500</v>
      </c>
    </row>
    <row r="19" spans="1:8" s="87" customFormat="1">
      <c r="A19" s="223"/>
      <c r="B19" s="223"/>
      <c r="C19" s="111"/>
      <c r="D19" s="111"/>
      <c r="E19" s="112"/>
      <c r="F19" s="113"/>
      <c r="G19" s="198"/>
      <c r="H19" s="188"/>
    </row>
    <row r="20" spans="1:8" s="87" customFormat="1">
      <c r="A20" s="225"/>
      <c r="B20" s="225"/>
      <c r="C20" s="114" t="s">
        <v>104</v>
      </c>
      <c r="D20" s="114"/>
      <c r="E20" s="115" t="s">
        <v>115</v>
      </c>
      <c r="F20" s="116">
        <f>F17+F12</f>
        <v>24458177.75</v>
      </c>
      <c r="G20" s="199">
        <f>G17+G12</f>
        <v>22591245.080000002</v>
      </c>
      <c r="H20" s="190">
        <f>H17+H12</f>
        <v>22446112</v>
      </c>
    </row>
    <row r="21" spans="1:8" s="87" customFormat="1">
      <c r="A21" s="225"/>
      <c r="B21" s="225"/>
      <c r="E21" s="117"/>
      <c r="F21" s="118"/>
      <c r="G21" s="200"/>
      <c r="H21" s="184"/>
    </row>
    <row r="22" spans="1:8" s="87" customFormat="1">
      <c r="A22" s="224"/>
      <c r="B22" s="224"/>
      <c r="C22" s="98"/>
      <c r="D22" s="98"/>
      <c r="E22" s="99" t="s">
        <v>116</v>
      </c>
      <c r="F22" s="100"/>
      <c r="G22" s="195"/>
      <c r="H22" s="186"/>
    </row>
    <row r="23" spans="1:8" s="87" customFormat="1">
      <c r="A23" s="224"/>
      <c r="B23" s="224"/>
      <c r="C23" s="101"/>
      <c r="D23" s="101"/>
      <c r="E23" s="102"/>
      <c r="F23" s="103"/>
      <c r="G23" s="196"/>
      <c r="H23" s="187"/>
    </row>
    <row r="24" spans="1:8" s="87" customFormat="1" ht="26.4">
      <c r="A24" s="224"/>
      <c r="B24" s="224"/>
      <c r="C24" s="104" t="s">
        <v>117</v>
      </c>
      <c r="D24" s="104"/>
      <c r="E24" s="105" t="s">
        <v>118</v>
      </c>
      <c r="F24" s="106">
        <f>F25+F26</f>
        <v>1000</v>
      </c>
      <c r="G24" s="197">
        <f>G25+G26</f>
        <v>1000</v>
      </c>
      <c r="H24" s="189">
        <f>H25+H26</f>
        <v>1000</v>
      </c>
    </row>
    <row r="25" spans="1:8" s="87" customFormat="1">
      <c r="A25" s="226" t="s">
        <v>119</v>
      </c>
      <c r="B25" s="226"/>
      <c r="C25" s="107" t="s">
        <v>120</v>
      </c>
      <c r="D25" s="107"/>
      <c r="E25" s="108" t="s">
        <v>121</v>
      </c>
      <c r="F25" s="109">
        <v>1000</v>
      </c>
      <c r="G25" s="97">
        <v>1000</v>
      </c>
      <c r="H25" s="185">
        <v>1000</v>
      </c>
    </row>
    <row r="26" spans="1:8" s="87" customFormat="1">
      <c r="A26" s="225"/>
      <c r="B26" s="225"/>
      <c r="C26" s="107" t="s">
        <v>122</v>
      </c>
      <c r="D26" s="107"/>
      <c r="E26" s="108" t="s">
        <v>123</v>
      </c>
      <c r="F26" s="109">
        <v>0</v>
      </c>
      <c r="G26" s="97">
        <v>0</v>
      </c>
      <c r="H26" s="185">
        <v>0</v>
      </c>
    </row>
    <row r="27" spans="1:8" s="87" customFormat="1">
      <c r="A27" s="223"/>
      <c r="B27" s="223"/>
      <c r="C27" s="111"/>
      <c r="D27" s="111"/>
      <c r="E27" s="112"/>
      <c r="F27" s="113"/>
      <c r="G27" s="198"/>
      <c r="H27" s="188"/>
    </row>
    <row r="28" spans="1:8" s="87" customFormat="1" ht="26.4">
      <c r="A28" s="224"/>
      <c r="B28" s="224"/>
      <c r="C28" s="104" t="s">
        <v>124</v>
      </c>
      <c r="D28" s="104"/>
      <c r="E28" s="105" t="s">
        <v>125</v>
      </c>
      <c r="F28" s="106">
        <f>F29</f>
        <v>0</v>
      </c>
      <c r="G28" s="197">
        <f>G29</f>
        <v>0</v>
      </c>
      <c r="H28" s="189">
        <f>H29</f>
        <v>0</v>
      </c>
    </row>
    <row r="29" spans="1:8" s="87" customFormat="1" ht="26.4">
      <c r="A29" s="225"/>
      <c r="B29" s="225"/>
      <c r="C29" s="107" t="s">
        <v>126</v>
      </c>
      <c r="D29" s="107"/>
      <c r="E29" s="108" t="s">
        <v>127</v>
      </c>
      <c r="F29" s="109">
        <v>0</v>
      </c>
      <c r="G29" s="97">
        <v>0</v>
      </c>
      <c r="H29" s="185">
        <v>0</v>
      </c>
    </row>
    <row r="30" spans="1:8" s="87" customFormat="1">
      <c r="A30" s="223"/>
      <c r="B30" s="223"/>
      <c r="C30" s="111"/>
      <c r="D30" s="111"/>
      <c r="E30" s="112"/>
      <c r="F30" s="113"/>
      <c r="G30" s="198"/>
      <c r="H30" s="188"/>
    </row>
    <row r="31" spans="1:8" s="87" customFormat="1">
      <c r="A31" s="224"/>
      <c r="B31" s="224"/>
      <c r="C31" s="104" t="s">
        <v>128</v>
      </c>
      <c r="D31" s="104"/>
      <c r="E31" s="105" t="s">
        <v>129</v>
      </c>
      <c r="F31" s="106">
        <f>F32</f>
        <v>500</v>
      </c>
      <c r="G31" s="197">
        <f>G32</f>
        <v>500</v>
      </c>
      <c r="H31" s="189">
        <f>H32</f>
        <v>500</v>
      </c>
    </row>
    <row r="32" spans="1:8" s="87" customFormat="1">
      <c r="A32" s="225"/>
      <c r="B32" s="225"/>
      <c r="C32" s="107" t="s">
        <v>130</v>
      </c>
      <c r="D32" s="107"/>
      <c r="E32" s="108" t="s">
        <v>131</v>
      </c>
      <c r="F32" s="109">
        <v>500</v>
      </c>
      <c r="G32" s="97">
        <v>500</v>
      </c>
      <c r="H32" s="185">
        <v>500</v>
      </c>
    </row>
    <row r="33" spans="1:11" s="87" customFormat="1">
      <c r="A33" s="223"/>
      <c r="B33" s="223"/>
      <c r="C33" s="111"/>
      <c r="D33" s="111"/>
      <c r="E33" s="112"/>
      <c r="F33" s="113"/>
      <c r="G33" s="198"/>
      <c r="H33" s="188"/>
    </row>
    <row r="34" spans="1:11" s="87" customFormat="1">
      <c r="A34" s="224"/>
      <c r="B34" s="224"/>
      <c r="C34" s="104" t="s">
        <v>132</v>
      </c>
      <c r="D34" s="104"/>
      <c r="E34" s="105" t="s">
        <v>133</v>
      </c>
      <c r="F34" s="106">
        <f>F35+F36</f>
        <v>187182.02</v>
      </c>
      <c r="G34" s="197">
        <f>G35+G36</f>
        <v>219937</v>
      </c>
      <c r="H34" s="189">
        <f>H35+H36</f>
        <v>206162</v>
      </c>
    </row>
    <row r="35" spans="1:11" s="87" customFormat="1">
      <c r="A35" s="225"/>
      <c r="B35" s="225"/>
      <c r="C35" s="107" t="s">
        <v>134</v>
      </c>
      <c r="D35" s="107"/>
      <c r="E35" s="108" t="s">
        <v>135</v>
      </c>
      <c r="F35" s="109">
        <f>177801.37-9734-5000+6270.65</f>
        <v>169338.02</v>
      </c>
      <c r="G35" s="97">
        <f>203934-9734-6000</f>
        <v>188200</v>
      </c>
      <c r="H35" s="185">
        <f>204734-9734-6000</f>
        <v>189000</v>
      </c>
      <c r="J35" s="87" t="s">
        <v>94</v>
      </c>
      <c r="K35" s="214" t="s">
        <v>94</v>
      </c>
    </row>
    <row r="36" spans="1:11" s="87" customFormat="1">
      <c r="A36" s="225"/>
      <c r="B36" s="225"/>
      <c r="C36" s="107" t="s">
        <v>136</v>
      </c>
      <c r="D36" s="107"/>
      <c r="E36" s="108" t="s">
        <v>137</v>
      </c>
      <c r="F36" s="109">
        <f>1860+1250+9734+5000</f>
        <v>17844</v>
      </c>
      <c r="G36" s="97">
        <f>16003+9734+6000</f>
        <v>31737</v>
      </c>
      <c r="H36" s="185">
        <f>1428+9734+6000</f>
        <v>17162</v>
      </c>
    </row>
    <row r="37" spans="1:11" s="87" customFormat="1">
      <c r="A37" s="223"/>
      <c r="B37" s="223"/>
      <c r="C37" s="111"/>
      <c r="D37" s="111"/>
      <c r="E37" s="112"/>
      <c r="F37" s="113"/>
      <c r="G37" s="198"/>
      <c r="H37" s="188"/>
    </row>
    <row r="38" spans="1:11" s="87" customFormat="1">
      <c r="A38" s="225"/>
      <c r="B38" s="225"/>
      <c r="C38" s="114" t="s">
        <v>119</v>
      </c>
      <c r="D38" s="114"/>
      <c r="E38" s="115" t="s">
        <v>138</v>
      </c>
      <c r="F38" s="116">
        <f>F34+F31+F28+F24</f>
        <v>188682.02</v>
      </c>
      <c r="G38" s="199">
        <f>G34+G31+G28+G24</f>
        <v>221437</v>
      </c>
      <c r="H38" s="190">
        <f>H34+H31+H28+H24</f>
        <v>207662</v>
      </c>
    </row>
    <row r="39" spans="1:11" s="87" customFormat="1">
      <c r="A39" s="225"/>
      <c r="B39" s="225"/>
      <c r="E39" s="117"/>
      <c r="F39" s="118"/>
      <c r="G39" s="200"/>
      <c r="H39" s="184"/>
    </row>
    <row r="40" spans="1:11" s="87" customFormat="1">
      <c r="A40" s="224"/>
      <c r="B40" s="224"/>
      <c r="C40" s="98"/>
      <c r="D40" s="98"/>
      <c r="E40" s="99" t="s">
        <v>139</v>
      </c>
      <c r="F40" s="100"/>
      <c r="G40" s="195"/>
      <c r="H40" s="186"/>
    </row>
    <row r="41" spans="1:11" s="87" customFormat="1">
      <c r="A41" s="224"/>
      <c r="B41" s="224"/>
      <c r="C41" s="101"/>
      <c r="D41" s="101"/>
      <c r="E41" s="102"/>
      <c r="F41" s="103"/>
      <c r="G41" s="196"/>
      <c r="H41" s="187"/>
    </row>
    <row r="42" spans="1:11" s="87" customFormat="1">
      <c r="A42" s="224"/>
      <c r="B42" s="224"/>
      <c r="C42" s="104" t="s">
        <v>140</v>
      </c>
      <c r="D42" s="104"/>
      <c r="E42" s="105" t="s">
        <v>141</v>
      </c>
      <c r="F42" s="106">
        <f>F43</f>
        <v>702956</v>
      </c>
      <c r="G42" s="197">
        <f>G43</f>
        <v>554656</v>
      </c>
      <c r="H42" s="189">
        <f>H43</f>
        <v>554156</v>
      </c>
    </row>
    <row r="43" spans="1:11" s="87" customFormat="1">
      <c r="A43" s="226" t="s">
        <v>142</v>
      </c>
      <c r="B43" s="226"/>
      <c r="C43" s="107" t="s">
        <v>143</v>
      </c>
      <c r="D43" s="107"/>
      <c r="E43" s="108" t="s">
        <v>144</v>
      </c>
      <c r="F43" s="109">
        <v>702956</v>
      </c>
      <c r="G43" s="97">
        <v>554656</v>
      </c>
      <c r="H43" s="185">
        <v>554156</v>
      </c>
    </row>
    <row r="44" spans="1:11" s="87" customFormat="1">
      <c r="A44" s="223"/>
      <c r="B44" s="223"/>
      <c r="C44" s="111"/>
      <c r="D44" s="111"/>
      <c r="E44" s="112"/>
      <c r="F44" s="113"/>
      <c r="G44" s="198"/>
      <c r="H44" s="188"/>
    </row>
    <row r="45" spans="1:11" s="87" customFormat="1">
      <c r="A45" s="224"/>
      <c r="B45" s="224"/>
      <c r="C45" s="104" t="s">
        <v>145</v>
      </c>
      <c r="D45" s="104"/>
      <c r="E45" s="105" t="s">
        <v>146</v>
      </c>
      <c r="F45" s="106">
        <f>F46</f>
        <v>0</v>
      </c>
      <c r="G45" s="197">
        <f>G46</f>
        <v>0</v>
      </c>
      <c r="H45" s="189">
        <f>H46</f>
        <v>0</v>
      </c>
    </row>
    <row r="46" spans="1:11" s="87" customFormat="1">
      <c r="A46" s="225"/>
      <c r="B46" s="225"/>
      <c r="C46" s="107" t="s">
        <v>147</v>
      </c>
      <c r="D46" s="107"/>
      <c r="E46" s="108" t="s">
        <v>148</v>
      </c>
      <c r="F46" s="109">
        <v>0</v>
      </c>
      <c r="G46" s="97">
        <v>0</v>
      </c>
      <c r="H46" s="185">
        <v>0</v>
      </c>
    </row>
    <row r="47" spans="1:11" s="87" customFormat="1">
      <c r="A47" s="223"/>
      <c r="B47" s="223"/>
      <c r="C47" s="111"/>
      <c r="D47" s="111"/>
      <c r="E47" s="112"/>
      <c r="F47" s="113"/>
      <c r="G47" s="198"/>
      <c r="H47" s="188"/>
    </row>
    <row r="48" spans="1:11" s="87" customFormat="1">
      <c r="A48" s="224"/>
      <c r="B48" s="224"/>
      <c r="C48" s="104" t="s">
        <v>149</v>
      </c>
      <c r="D48" s="104"/>
      <c r="E48" s="105" t="s">
        <v>150</v>
      </c>
      <c r="F48" s="106">
        <f>F49+F49+F50</f>
        <v>0</v>
      </c>
      <c r="G48" s="197">
        <f>G49+G49+G50</f>
        <v>55000</v>
      </c>
      <c r="H48" s="189">
        <f>H49+H49+H50</f>
        <v>0</v>
      </c>
    </row>
    <row r="49" spans="1:8" s="87" customFormat="1" ht="26.4">
      <c r="A49" s="225"/>
      <c r="B49" s="225"/>
      <c r="C49" s="107" t="s">
        <v>151</v>
      </c>
      <c r="D49" s="107"/>
      <c r="E49" s="108" t="s">
        <v>152</v>
      </c>
      <c r="F49" s="109">
        <v>0</v>
      </c>
      <c r="G49" s="97">
        <v>0</v>
      </c>
      <c r="H49" s="185">
        <v>0</v>
      </c>
    </row>
    <row r="50" spans="1:8" s="87" customFormat="1">
      <c r="A50" s="225"/>
      <c r="B50" s="225"/>
      <c r="C50" s="107" t="s">
        <v>153</v>
      </c>
      <c r="D50" s="107"/>
      <c r="E50" s="108" t="s">
        <v>154</v>
      </c>
      <c r="F50" s="109">
        <v>0</v>
      </c>
      <c r="G50" s="97">
        <v>55000</v>
      </c>
      <c r="H50" s="185">
        <v>0</v>
      </c>
    </row>
    <row r="51" spans="1:8" s="87" customFormat="1">
      <c r="A51" s="223"/>
      <c r="B51" s="223"/>
      <c r="C51" s="111"/>
      <c r="D51" s="111"/>
      <c r="E51" s="112"/>
      <c r="F51" s="113"/>
      <c r="G51" s="198"/>
      <c r="H51" s="188"/>
    </row>
    <row r="52" spans="1:8" s="87" customFormat="1">
      <c r="A52" s="225"/>
      <c r="B52" s="225"/>
      <c r="C52" s="114" t="s">
        <v>142</v>
      </c>
      <c r="D52" s="114"/>
      <c r="E52" s="115" t="s">
        <v>155</v>
      </c>
      <c r="F52" s="116">
        <f>F48+F45+F42</f>
        <v>702956</v>
      </c>
      <c r="G52" s="199">
        <f>G48+G45+G42</f>
        <v>609656</v>
      </c>
      <c r="H52" s="190">
        <f>H48+H45+H42</f>
        <v>554156</v>
      </c>
    </row>
    <row r="53" spans="1:8" s="87" customFormat="1">
      <c r="A53" s="225"/>
      <c r="B53" s="225"/>
      <c r="E53" s="117"/>
      <c r="F53" s="118"/>
      <c r="G53" s="200"/>
      <c r="H53" s="184"/>
    </row>
    <row r="54" spans="1:8" s="87" customFormat="1">
      <c r="A54" s="224"/>
      <c r="B54" s="224"/>
      <c r="C54" s="98"/>
      <c r="D54" s="98"/>
      <c r="E54" s="99" t="s">
        <v>156</v>
      </c>
      <c r="F54" s="100"/>
      <c r="G54" s="195"/>
      <c r="H54" s="186"/>
    </row>
    <row r="55" spans="1:8" s="87" customFormat="1">
      <c r="A55" s="224"/>
      <c r="B55" s="224"/>
      <c r="C55" s="101"/>
      <c r="D55" s="101"/>
      <c r="E55" s="102"/>
      <c r="F55" s="103"/>
      <c r="G55" s="196"/>
      <c r="H55" s="187"/>
    </row>
    <row r="56" spans="1:8" s="87" customFormat="1">
      <c r="A56" s="224"/>
      <c r="B56" s="224"/>
      <c r="C56" s="104" t="s">
        <v>157</v>
      </c>
      <c r="D56" s="104"/>
      <c r="E56" s="105" t="s">
        <v>158</v>
      </c>
      <c r="F56" s="106">
        <f>F57+F58+F59+F60</f>
        <v>4792300</v>
      </c>
      <c r="G56" s="197">
        <f>G57+G58+G59+G60</f>
        <v>4796250</v>
      </c>
      <c r="H56" s="189">
        <f>H57+H58+H59+H60</f>
        <v>4796250</v>
      </c>
    </row>
    <row r="57" spans="1:8" s="87" customFormat="1">
      <c r="A57" s="226" t="s">
        <v>159</v>
      </c>
      <c r="B57" s="226"/>
      <c r="C57" s="107" t="s">
        <v>160</v>
      </c>
      <c r="D57" s="107"/>
      <c r="E57" s="108" t="s">
        <v>161</v>
      </c>
      <c r="F57" s="109">
        <v>1843800</v>
      </c>
      <c r="G57" s="97">
        <v>1842750</v>
      </c>
      <c r="H57" s="185">
        <v>1842750</v>
      </c>
    </row>
    <row r="58" spans="1:8" s="87" customFormat="1">
      <c r="A58" s="225"/>
      <c r="B58" s="225"/>
      <c r="C58" s="107" t="s">
        <v>162</v>
      </c>
      <c r="D58" s="107"/>
      <c r="E58" s="108" t="s">
        <v>163</v>
      </c>
      <c r="F58" s="109">
        <v>2871000</v>
      </c>
      <c r="G58" s="97">
        <v>2876000</v>
      </c>
      <c r="H58" s="185">
        <v>2876000</v>
      </c>
    </row>
    <row r="59" spans="1:8" s="87" customFormat="1">
      <c r="A59" s="225"/>
      <c r="B59" s="225"/>
      <c r="C59" s="107" t="s">
        <v>164</v>
      </c>
      <c r="D59" s="107"/>
      <c r="E59" s="108" t="s">
        <v>165</v>
      </c>
      <c r="F59" s="109">
        <v>31500</v>
      </c>
      <c r="G59" s="97">
        <v>31500</v>
      </c>
      <c r="H59" s="185">
        <v>31500</v>
      </c>
    </row>
    <row r="60" spans="1:8" s="87" customFormat="1">
      <c r="A60" s="225"/>
      <c r="B60" s="225"/>
      <c r="C60" s="107" t="s">
        <v>166</v>
      </c>
      <c r="D60" s="107"/>
      <c r="E60" s="108" t="s">
        <v>167</v>
      </c>
      <c r="F60" s="109">
        <v>46000</v>
      </c>
      <c r="G60" s="97">
        <v>46000</v>
      </c>
      <c r="H60" s="185">
        <v>46000</v>
      </c>
    </row>
    <row r="61" spans="1:8" s="87" customFormat="1">
      <c r="A61" s="223"/>
      <c r="B61" s="223"/>
      <c r="C61" s="111"/>
      <c r="D61" s="111"/>
      <c r="E61" s="112"/>
      <c r="F61" s="113"/>
      <c r="G61" s="198"/>
      <c r="H61" s="188"/>
    </row>
    <row r="62" spans="1:8" s="87" customFormat="1">
      <c r="A62" s="224"/>
      <c r="B62" s="224"/>
      <c r="C62" s="104" t="s">
        <v>168</v>
      </c>
      <c r="D62" s="104"/>
      <c r="E62" s="105" t="s">
        <v>169</v>
      </c>
      <c r="F62" s="106">
        <f>F63</f>
        <v>7000</v>
      </c>
      <c r="G62" s="197">
        <f>G63</f>
        <v>2000</v>
      </c>
      <c r="H62" s="189">
        <f>H63</f>
        <v>2000</v>
      </c>
    </row>
    <row r="63" spans="1:8" s="87" customFormat="1">
      <c r="A63" s="225"/>
      <c r="B63" s="225"/>
      <c r="C63" s="107" t="s">
        <v>170</v>
      </c>
      <c r="D63" s="107"/>
      <c r="E63" s="108" t="s">
        <v>171</v>
      </c>
      <c r="F63" s="109">
        <v>7000</v>
      </c>
      <c r="G63" s="97">
        <v>2000</v>
      </c>
      <c r="H63" s="185">
        <v>2000</v>
      </c>
    </row>
    <row r="64" spans="1:8" s="87" customFormat="1">
      <c r="A64" s="223"/>
      <c r="B64" s="223"/>
      <c r="C64" s="111"/>
      <c r="D64" s="111"/>
      <c r="E64" s="112"/>
      <c r="F64" s="113"/>
      <c r="G64" s="198"/>
      <c r="H64" s="188"/>
    </row>
    <row r="65" spans="1:9" s="87" customFormat="1">
      <c r="A65" s="225"/>
      <c r="B65" s="225"/>
      <c r="C65" s="114" t="s">
        <v>159</v>
      </c>
      <c r="D65" s="114"/>
      <c r="E65" s="115" t="s">
        <v>172</v>
      </c>
      <c r="F65" s="116">
        <f>F62+F56</f>
        <v>4799300</v>
      </c>
      <c r="G65" s="199">
        <f>G62+G56</f>
        <v>4798250</v>
      </c>
      <c r="H65" s="190">
        <f>H62+H56</f>
        <v>4798250</v>
      </c>
    </row>
    <row r="66" spans="1:9" s="87" customFormat="1">
      <c r="A66" s="225"/>
      <c r="B66" s="225"/>
      <c r="E66" s="117"/>
      <c r="F66" s="118"/>
      <c r="G66" s="200"/>
      <c r="H66" s="184"/>
    </row>
    <row r="67" spans="1:9" s="87" customFormat="1">
      <c r="A67" s="223"/>
      <c r="B67" s="223"/>
      <c r="C67" s="119"/>
      <c r="D67" s="119"/>
      <c r="E67" s="120" t="s">
        <v>173</v>
      </c>
      <c r="F67" s="121">
        <f>F65+F52+F38+F20</f>
        <v>30149115.77</v>
      </c>
      <c r="G67" s="201">
        <f>G65+G52+G38+G20</f>
        <v>28220588.080000002</v>
      </c>
      <c r="H67" s="191">
        <f>H65+H52+H38+H20</f>
        <v>28006180</v>
      </c>
    </row>
    <row r="68" spans="1:9" s="87" customFormat="1">
      <c r="A68" s="223"/>
      <c r="B68" s="223"/>
      <c r="C68" s="122"/>
      <c r="D68" s="122"/>
      <c r="E68" s="123"/>
      <c r="F68" s="124"/>
      <c r="G68" s="202"/>
      <c r="H68" s="188"/>
    </row>
    <row r="69" spans="1:9" s="87" customFormat="1">
      <c r="A69" s="223"/>
      <c r="B69" s="223"/>
      <c r="C69" s="119"/>
      <c r="D69" s="119"/>
      <c r="E69" s="120" t="s">
        <v>174</v>
      </c>
      <c r="F69" s="125">
        <f>F67+F8+F7+F6</f>
        <v>36566505.619999997</v>
      </c>
      <c r="G69" s="203">
        <f>G67+G8+G7+G6</f>
        <v>28221311.500000004</v>
      </c>
      <c r="H69" s="192">
        <f>H67+H8+H7+H6</f>
        <v>28006180</v>
      </c>
    </row>
    <row r="74" spans="1:9">
      <c r="F74" s="127"/>
      <c r="G74" s="127"/>
      <c r="H74" s="127"/>
      <c r="I74" s="127"/>
    </row>
    <row r="75" spans="1:9">
      <c r="F75" s="127"/>
      <c r="G75" s="127"/>
      <c r="H75" s="127"/>
      <c r="I75" s="127"/>
    </row>
    <row r="76" spans="1:9">
      <c r="F76" s="127"/>
      <c r="G76" s="127"/>
      <c r="H76" s="127"/>
      <c r="I76" s="127"/>
    </row>
    <row r="77" spans="1:9">
      <c r="F77" s="127"/>
      <c r="G77" s="127"/>
      <c r="H77" s="127"/>
      <c r="I77" s="127"/>
    </row>
    <row r="78" spans="1:9">
      <c r="F78" s="127"/>
      <c r="G78" s="127"/>
      <c r="H78" s="127"/>
      <c r="I78" s="127"/>
    </row>
    <row r="79" spans="1:9">
      <c r="F79" s="127"/>
      <c r="G79" s="127"/>
      <c r="H79" s="127"/>
      <c r="I79" s="127"/>
    </row>
    <row r="80" spans="1:9">
      <c r="F80" s="127"/>
      <c r="G80" s="127"/>
      <c r="H80" s="127"/>
      <c r="I80" s="127"/>
    </row>
    <row r="81" spans="6:9">
      <c r="F81" s="127"/>
      <c r="G81" s="127"/>
      <c r="H81" s="127"/>
      <c r="I81" s="127"/>
    </row>
  </sheetData>
  <mergeCells count="63">
    <mergeCell ref="A13:B13"/>
    <mergeCell ref="C6:C8"/>
    <mergeCell ref="D6:D8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52" t="s">
        <v>218</v>
      </c>
      <c r="C1" s="253"/>
      <c r="D1" s="253"/>
      <c r="E1" s="253"/>
      <c r="F1" s="253"/>
      <c r="G1" s="175"/>
    </row>
    <row r="2" spans="1:7" s="129" customFormat="1" ht="15" customHeight="1"/>
    <row r="3" spans="1:7" s="156" customFormat="1" ht="33" customHeight="1">
      <c r="B3" s="250" t="s">
        <v>0</v>
      </c>
      <c r="C3" s="250"/>
      <c r="D3" s="174" t="s">
        <v>205</v>
      </c>
      <c r="E3" s="174" t="s">
        <v>207</v>
      </c>
      <c r="F3" s="173" t="s">
        <v>8</v>
      </c>
    </row>
    <row r="4" spans="1:7" s="156" customFormat="1" ht="18.75" customHeight="1">
      <c r="B4" s="250"/>
      <c r="C4" s="250"/>
      <c r="D4" s="173" t="s">
        <v>214</v>
      </c>
      <c r="E4" s="173" t="s">
        <v>213</v>
      </c>
      <c r="F4" s="173" t="s">
        <v>43</v>
      </c>
    </row>
    <row r="5" spans="1:7" s="156" customFormat="1" ht="11.25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18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18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18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8" customHeight="1"/>
    <row r="10" spans="1:7" s="156" customFormat="1" ht="18.75" hidden="1" customHeight="1">
      <c r="B10" s="159"/>
      <c r="C10" s="159"/>
      <c r="D10" s="158"/>
      <c r="E10" s="158"/>
      <c r="F10" s="158"/>
    </row>
    <row r="11" spans="1:7" s="156" customFormat="1" ht="18.75" customHeight="1">
      <c r="B11" s="251" t="s">
        <v>79</v>
      </c>
      <c r="C11" s="251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52" t="s">
        <v>219</v>
      </c>
      <c r="C1" s="253"/>
      <c r="D1" s="253"/>
      <c r="E1" s="253"/>
      <c r="F1" s="253"/>
      <c r="G1" s="175"/>
    </row>
    <row r="2" spans="1:7" s="129" customFormat="1" ht="15" customHeight="1"/>
    <row r="3" spans="1:7" s="156" customFormat="1" ht="37.5" customHeight="1">
      <c r="B3" s="250" t="s">
        <v>0</v>
      </c>
      <c r="C3" s="250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50"/>
      <c r="C4" s="250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24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51" t="s">
        <v>79</v>
      </c>
      <c r="C11" s="251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3"/>
  <sheetViews>
    <sheetView tabSelected="1" zoomScaleNormal="100" workbookViewId="0">
      <selection activeCell="N17" sqref="N17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customWidth="1"/>
    <col min="6" max="6" width="20.88671875" customWidth="1"/>
    <col min="8" max="8" width="12.6640625" bestFit="1" customWidth="1"/>
    <col min="9" max="9" width="13" customWidth="1"/>
    <col min="10" max="10" width="14.109375" bestFit="1" customWidth="1"/>
    <col min="11" max="11" width="14" bestFit="1" customWidth="1"/>
    <col min="12" max="12" width="13" bestFit="1" customWidth="1"/>
    <col min="13" max="13" width="11.44140625" bestFit="1" customWidth="1"/>
    <col min="14" max="14" width="12.88671875" bestFit="1" customWidth="1"/>
    <col min="15" max="15" width="14" bestFit="1" customWidth="1"/>
    <col min="16" max="16" width="12.6640625" bestFit="1" customWidth="1"/>
  </cols>
  <sheetData>
    <row r="1" spans="1:27" s="129" customFormat="1" ht="25.5" customHeight="1">
      <c r="B1" s="232" t="s">
        <v>175</v>
      </c>
      <c r="C1" s="232"/>
      <c r="D1" s="232"/>
      <c r="E1" s="232"/>
      <c r="F1" s="232"/>
    </row>
    <row r="2" spans="1:27" s="129" customFormat="1" ht="15" customHeight="1"/>
    <row r="3" spans="1:27" s="129" customFormat="1" ht="18" customHeight="1">
      <c r="A3" s="130"/>
      <c r="B3" s="233" t="s">
        <v>176</v>
      </c>
      <c r="C3" s="233"/>
      <c r="D3" s="131" t="s">
        <v>177</v>
      </c>
      <c r="E3" s="131" t="s">
        <v>178</v>
      </c>
      <c r="F3" s="131" t="s">
        <v>179</v>
      </c>
    </row>
    <row r="4" spans="1:27" s="129" customFormat="1" ht="18" customHeight="1">
      <c r="A4" s="130"/>
      <c r="B4" s="233"/>
      <c r="C4" s="233"/>
      <c r="D4" s="131" t="s">
        <v>8</v>
      </c>
      <c r="E4" s="131" t="s">
        <v>8</v>
      </c>
      <c r="F4" s="131" t="s">
        <v>8</v>
      </c>
    </row>
    <row r="5" spans="1:27" s="129" customFormat="1" ht="3" customHeight="1">
      <c r="A5" s="132"/>
      <c r="B5" s="230"/>
      <c r="C5" s="230"/>
      <c r="D5" s="132"/>
      <c r="E5" s="132"/>
      <c r="F5" s="178"/>
    </row>
    <row r="6" spans="1:27" s="129" customFormat="1" ht="7.5" customHeight="1">
      <c r="F6" s="179"/>
      <c r="H6" s="215" t="s">
        <v>94</v>
      </c>
    </row>
    <row r="7" spans="1:27" s="129" customFormat="1" ht="18" customHeight="1">
      <c r="A7" s="130"/>
      <c r="B7" s="133"/>
      <c r="C7" s="134" t="s">
        <v>180</v>
      </c>
      <c r="D7" s="135">
        <v>0</v>
      </c>
      <c r="E7" s="135">
        <v>0</v>
      </c>
      <c r="F7" s="150">
        <v>0</v>
      </c>
    </row>
    <row r="8" spans="1:27" s="129" customFormat="1" ht="3" customHeight="1">
      <c r="A8" s="132"/>
      <c r="B8" s="230"/>
      <c r="C8" s="230"/>
      <c r="D8" s="132"/>
      <c r="E8" s="132"/>
      <c r="F8" s="178"/>
    </row>
    <row r="9" spans="1:27" s="129" customFormat="1" ht="7.5" customHeight="1">
      <c r="F9" s="179"/>
    </row>
    <row r="10" spans="1:27" s="129" customFormat="1" ht="15" customHeight="1">
      <c r="A10" s="136" t="s">
        <v>181</v>
      </c>
      <c r="B10" s="137" t="s">
        <v>182</v>
      </c>
      <c r="C10" s="138" t="s">
        <v>183</v>
      </c>
      <c r="D10" s="137" t="s">
        <v>184</v>
      </c>
      <c r="E10" s="137" t="s">
        <v>185</v>
      </c>
      <c r="F10" s="182" t="s">
        <v>186</v>
      </c>
    </row>
    <row r="11" spans="1:27" s="129" customFormat="1" ht="15" customHeight="1">
      <c r="A11" s="139" t="s">
        <v>187</v>
      </c>
      <c r="B11" s="140" t="s">
        <v>188</v>
      </c>
      <c r="C11" s="141" t="s">
        <v>1</v>
      </c>
      <c r="D11" s="142">
        <v>251930.66</v>
      </c>
      <c r="E11" s="142">
        <v>253030</v>
      </c>
      <c r="F11" s="142">
        <v>254630</v>
      </c>
      <c r="H11" s="220" t="s">
        <v>94</v>
      </c>
      <c r="I11" s="220" t="s">
        <v>94</v>
      </c>
      <c r="J11" s="220" t="s">
        <v>94</v>
      </c>
      <c r="K11" s="220" t="s">
        <v>94</v>
      </c>
      <c r="L11" s="220" t="s">
        <v>94</v>
      </c>
      <c r="M11" s="220" t="s">
        <v>94</v>
      </c>
      <c r="N11" s="220" t="s">
        <v>94</v>
      </c>
      <c r="O11" s="220" t="s">
        <v>94</v>
      </c>
      <c r="Z11" s="212" t="s">
        <v>94</v>
      </c>
      <c r="AA11" s="212" t="s">
        <v>94</v>
      </c>
    </row>
    <row r="12" spans="1:27" s="129" customFormat="1" ht="15" customHeight="1">
      <c r="A12" s="143"/>
      <c r="B12" s="140" t="s">
        <v>189</v>
      </c>
      <c r="C12" s="141" t="s">
        <v>2</v>
      </c>
      <c r="D12" s="142">
        <v>1209377.8199999998</v>
      </c>
      <c r="E12" s="142">
        <v>1168758.17</v>
      </c>
      <c r="F12" s="142">
        <v>1173781.05</v>
      </c>
    </row>
    <row r="13" spans="1:27" s="129" customFormat="1" ht="15" customHeight="1">
      <c r="A13" s="143"/>
      <c r="B13" s="140" t="s">
        <v>190</v>
      </c>
      <c r="C13" s="141" t="s">
        <v>3</v>
      </c>
      <c r="D13" s="142">
        <v>14649231.740000002</v>
      </c>
      <c r="E13" s="142">
        <v>12508156.25</v>
      </c>
      <c r="F13" s="142">
        <v>12424066.870000001</v>
      </c>
    </row>
    <row r="14" spans="1:27" s="129" customFormat="1" ht="15" customHeight="1">
      <c r="A14" s="143"/>
      <c r="B14" s="140" t="s">
        <v>191</v>
      </c>
      <c r="C14" s="141" t="s">
        <v>4</v>
      </c>
      <c r="D14" s="142">
        <v>10518885.24</v>
      </c>
      <c r="E14" s="142">
        <v>8409750</v>
      </c>
      <c r="F14" s="142">
        <v>8366750</v>
      </c>
      <c r="H14" s="221" t="s">
        <v>94</v>
      </c>
      <c r="I14" s="221" t="s">
        <v>94</v>
      </c>
      <c r="J14" s="221" t="s">
        <v>94</v>
      </c>
      <c r="K14" s="221" t="s">
        <v>94</v>
      </c>
      <c r="L14" s="221" t="s">
        <v>94</v>
      </c>
      <c r="M14" s="221" t="s">
        <v>94</v>
      </c>
      <c r="N14" s="221" t="s">
        <v>94</v>
      </c>
      <c r="O14" s="221" t="s">
        <v>94</v>
      </c>
    </row>
    <row r="15" spans="1:27" s="129" customFormat="1" ht="15" customHeight="1">
      <c r="A15" s="143"/>
      <c r="B15" s="140" t="s">
        <v>192</v>
      </c>
      <c r="C15" s="141" t="s">
        <v>5</v>
      </c>
      <c r="D15" s="142">
        <v>500</v>
      </c>
      <c r="E15" s="142">
        <v>500</v>
      </c>
      <c r="F15" s="142">
        <v>500</v>
      </c>
    </row>
    <row r="16" spans="1:27" s="129" customFormat="1" ht="15" customHeight="1">
      <c r="A16" s="143"/>
      <c r="B16" s="140" t="s">
        <v>193</v>
      </c>
      <c r="C16" s="141" t="s">
        <v>6</v>
      </c>
      <c r="D16" s="142">
        <v>137700.25</v>
      </c>
      <c r="E16" s="142">
        <v>141176.07</v>
      </c>
      <c r="F16" s="142">
        <v>141176.07</v>
      </c>
    </row>
    <row r="17" spans="1:11" s="129" customFormat="1" ht="15" customHeight="1">
      <c r="A17" s="143"/>
      <c r="B17" s="140" t="s">
        <v>194</v>
      </c>
      <c r="C17" s="141" t="s">
        <v>7</v>
      </c>
      <c r="D17" s="142">
        <v>3851156.22</v>
      </c>
      <c r="E17" s="142">
        <v>332035.01</v>
      </c>
      <c r="F17" s="142">
        <v>292870.01</v>
      </c>
    </row>
    <row r="18" spans="1:11" s="129" customFormat="1" ht="15" customHeight="1">
      <c r="A18" s="144" t="s">
        <v>16</v>
      </c>
      <c r="B18" s="145" t="s">
        <v>187</v>
      </c>
      <c r="C18" s="146" t="s">
        <v>195</v>
      </c>
      <c r="D18" s="147">
        <f>SUM(D11:D17)</f>
        <v>30618781.93</v>
      </c>
      <c r="E18" s="147">
        <f>SUM(E11:E17)</f>
        <v>22813405.500000004</v>
      </c>
      <c r="F18" s="147">
        <f>SUM(F11:F17)</f>
        <v>22653774.000000004</v>
      </c>
    </row>
    <row r="19" spans="1:11" s="129" customFormat="1" ht="7.5" customHeight="1">
      <c r="A19" s="148"/>
      <c r="B19" s="148"/>
      <c r="C19" s="148"/>
      <c r="D19" s="148"/>
      <c r="E19" s="148"/>
      <c r="F19" s="180"/>
    </row>
    <row r="20" spans="1:11" s="129" customFormat="1" ht="15" customHeight="1">
      <c r="A20" s="136" t="s">
        <v>181</v>
      </c>
      <c r="B20" s="137" t="s">
        <v>182</v>
      </c>
      <c r="C20" s="138" t="s">
        <v>196</v>
      </c>
      <c r="D20" s="137" t="s">
        <v>184</v>
      </c>
      <c r="E20" s="137" t="s">
        <v>185</v>
      </c>
      <c r="F20" s="137" t="s">
        <v>186</v>
      </c>
    </row>
    <row r="21" spans="1:11" s="129" customFormat="1" ht="15" customHeight="1">
      <c r="A21" s="139" t="s">
        <v>197</v>
      </c>
      <c r="B21" s="140" t="s">
        <v>198</v>
      </c>
      <c r="C21" s="141" t="s">
        <v>85</v>
      </c>
      <c r="D21" s="142">
        <v>1024923.6900000001</v>
      </c>
      <c r="E21" s="142">
        <v>467156</v>
      </c>
      <c r="F21" s="142">
        <v>411656</v>
      </c>
    </row>
    <row r="22" spans="1:11" s="129" customFormat="1" ht="15" customHeight="1">
      <c r="A22" s="143"/>
      <c r="B22" s="140" t="s">
        <v>199</v>
      </c>
      <c r="C22" s="141" t="s">
        <v>86</v>
      </c>
      <c r="D22" s="142">
        <v>45000</v>
      </c>
      <c r="E22" s="142">
        <v>90000</v>
      </c>
      <c r="F22" s="142">
        <v>90000</v>
      </c>
      <c r="H22" s="215" t="s">
        <v>94</v>
      </c>
      <c r="I22" s="215" t="s">
        <v>94</v>
      </c>
      <c r="J22" s="215" t="s">
        <v>94</v>
      </c>
    </row>
    <row r="23" spans="1:11" s="129" customFormat="1" ht="15" customHeight="1">
      <c r="A23" s="143"/>
      <c r="B23" s="140" t="s">
        <v>200</v>
      </c>
      <c r="C23" s="141" t="s">
        <v>87</v>
      </c>
      <c r="D23" s="142">
        <v>78500</v>
      </c>
      <c r="E23" s="142">
        <v>52500</v>
      </c>
      <c r="F23" s="142">
        <v>52500</v>
      </c>
    </row>
    <row r="24" spans="1:11" s="129" customFormat="1" ht="15" customHeight="1">
      <c r="A24" s="144" t="s">
        <v>84</v>
      </c>
      <c r="B24" s="145" t="s">
        <v>197</v>
      </c>
      <c r="C24" s="146" t="s">
        <v>201</v>
      </c>
      <c r="D24" s="147">
        <f>SUM(D21:D23)</f>
        <v>1148423.69</v>
      </c>
      <c r="E24" s="147">
        <f>SUM(E21:E23)</f>
        <v>609656</v>
      </c>
      <c r="F24" s="147">
        <f>SUM(F21:F23)</f>
        <v>554156</v>
      </c>
    </row>
    <row r="25" spans="1:11" s="129" customFormat="1" ht="7.5" customHeight="1">
      <c r="A25" s="148"/>
      <c r="B25" s="148"/>
      <c r="C25" s="148"/>
      <c r="D25" s="148"/>
      <c r="E25" s="148"/>
      <c r="F25" s="180"/>
    </row>
    <row r="26" spans="1:11" s="129" customFormat="1" ht="15" customHeight="1">
      <c r="A26" s="136" t="s">
        <v>181</v>
      </c>
      <c r="B26" s="137" t="s">
        <v>182</v>
      </c>
      <c r="C26" s="138" t="s">
        <v>202</v>
      </c>
      <c r="D26" s="137" t="s">
        <v>184</v>
      </c>
      <c r="E26" s="137" t="s">
        <v>185</v>
      </c>
      <c r="F26" s="137" t="s">
        <v>186</v>
      </c>
      <c r="K26" s="129" t="s">
        <v>94</v>
      </c>
    </row>
    <row r="27" spans="1:11" s="129" customFormat="1" ht="15" customHeight="1">
      <c r="A27" s="139" t="s">
        <v>203</v>
      </c>
      <c r="B27" s="140" t="s">
        <v>204</v>
      </c>
      <c r="C27" s="141" t="s">
        <v>205</v>
      </c>
      <c r="D27" s="142">
        <v>4792300</v>
      </c>
      <c r="E27" s="142">
        <v>4796250</v>
      </c>
      <c r="F27" s="142">
        <v>4796250</v>
      </c>
    </row>
    <row r="28" spans="1:11" s="129" customFormat="1" ht="15" customHeight="1">
      <c r="A28" s="143"/>
      <c r="B28" s="140" t="s">
        <v>206</v>
      </c>
      <c r="C28" s="141" t="s">
        <v>207</v>
      </c>
      <c r="D28" s="142">
        <v>7000</v>
      </c>
      <c r="E28" s="142">
        <v>2000</v>
      </c>
      <c r="F28" s="142">
        <v>2000</v>
      </c>
    </row>
    <row r="29" spans="1:11" s="129" customFormat="1" ht="15" customHeight="1">
      <c r="A29" s="144" t="s">
        <v>43</v>
      </c>
      <c r="B29" s="145" t="s">
        <v>203</v>
      </c>
      <c r="C29" s="146" t="s">
        <v>208</v>
      </c>
      <c r="D29" s="147">
        <f>SUM(D27:D28)</f>
        <v>4799300</v>
      </c>
      <c r="E29" s="147">
        <f>SUM(E27:E28)</f>
        <v>4798250</v>
      </c>
      <c r="F29" s="147">
        <f>SUM(F27:F28)</f>
        <v>4798250</v>
      </c>
    </row>
    <row r="30" spans="1:11" s="129" customFormat="1" ht="7.5" customHeight="1">
      <c r="A30" s="148"/>
      <c r="B30" s="148"/>
      <c r="C30" s="148"/>
      <c r="D30" s="148"/>
      <c r="E30" s="148"/>
      <c r="F30" s="180"/>
    </row>
    <row r="31" spans="1:11" s="129" customFormat="1" ht="18" customHeight="1">
      <c r="A31" s="149"/>
      <c r="B31" s="231" t="s">
        <v>209</v>
      </c>
      <c r="C31" s="231"/>
      <c r="D31" s="150">
        <f>D29+D24+D18</f>
        <v>36566505.619999997</v>
      </c>
      <c r="E31" s="150">
        <f>E29+E24+E18</f>
        <v>28221311.500000004</v>
      </c>
      <c r="F31" s="150">
        <f>F29+F24+F18</f>
        <v>28006180.000000004</v>
      </c>
    </row>
    <row r="32" spans="1:11" s="129" customFormat="1" ht="7.5" customHeight="1">
      <c r="A32" s="149"/>
      <c r="B32" s="151"/>
      <c r="C32" s="151"/>
      <c r="D32" s="152"/>
      <c r="E32" s="152"/>
      <c r="F32" s="181"/>
    </row>
    <row r="33" spans="1:6" s="129" customFormat="1" ht="18" customHeight="1">
      <c r="A33" s="149"/>
      <c r="B33" s="153"/>
      <c r="C33" s="154" t="s">
        <v>210</v>
      </c>
      <c r="D33" s="155">
        <f>D31+D7</f>
        <v>36566505.619999997</v>
      </c>
      <c r="E33" s="155">
        <f>E31+E7</f>
        <v>28221311.500000004</v>
      </c>
      <c r="F33" s="155">
        <f>F31+F7</f>
        <v>28006180.000000004</v>
      </c>
    </row>
  </sheetData>
  <mergeCells count="5">
    <mergeCell ref="B8:C8"/>
    <mergeCell ref="B31:C31"/>
    <mergeCell ref="B1:F1"/>
    <mergeCell ref="B3:C4"/>
    <mergeCell ref="B5:C5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7"/>
  <sheetViews>
    <sheetView view="pageBreakPreview" topLeftCell="A28" zoomScale="70" zoomScaleNormal="100" zoomScaleSheetLayoutView="70" workbookViewId="0">
      <selection activeCell="D59" sqref="D59:K59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9" width="15.88671875" style="28" customWidth="1"/>
    <col min="10" max="10" width="20" style="28" customWidth="1"/>
    <col min="11" max="11" width="21.109375" style="28" customWidth="1"/>
    <col min="12" max="12" width="30.33203125" style="28" customWidth="1"/>
    <col min="13" max="13" width="15" style="28" customWidth="1"/>
    <col min="14" max="16384" width="9.109375" style="28"/>
  </cols>
  <sheetData>
    <row r="1" spans="1:12" s="1" customFormat="1" ht="45" customHeight="1">
      <c r="A1" s="236" t="s">
        <v>80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2"/>
    </row>
    <row r="2" spans="1:12" s="1" customFormat="1" ht="55.2">
      <c r="B2" s="234" t="s">
        <v>0</v>
      </c>
      <c r="C2" s="234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34"/>
      <c r="C3" s="234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f>981782.9+167.73-15850</f>
        <v>966100.63</v>
      </c>
      <c r="F6" s="14">
        <f>9620215.49+75426.38+1246.49-38943.61</f>
        <v>9657944.7500000019</v>
      </c>
      <c r="G6" s="14">
        <f>7179550+6474.2+64470+1250-195000</f>
        <v>7056744.2000000002</v>
      </c>
      <c r="H6" s="14" t="s">
        <v>20</v>
      </c>
      <c r="I6" s="14" t="s">
        <v>20</v>
      </c>
      <c r="J6" s="14">
        <v>2000</v>
      </c>
      <c r="K6" s="14">
        <f>D6+E6+F6+G6+H6+I6+J6</f>
        <v>17682789.580000002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f>32090-5000</f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ref="K7:K13" si="0">D7+E7+F7+G7+H7+I7+J7</f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f>256700-5499.34</f>
        <v>251200.66</v>
      </c>
      <c r="E8" s="14">
        <f>9468.52+2000+15000</f>
        <v>26468.52</v>
      </c>
      <c r="F8" s="14">
        <f>2442625.54+407.58+6400+494.06+21500+149231.16+11158.37</f>
        <v>2631816.7100000004</v>
      </c>
      <c r="G8" s="14" t="s">
        <v>20</v>
      </c>
      <c r="H8" s="14" t="s">
        <v>20</v>
      </c>
      <c r="I8" s="14" t="s">
        <v>20</v>
      </c>
      <c r="J8" s="14">
        <v>64925.55</v>
      </c>
      <c r="K8" s="14">
        <f t="shared" si="0"/>
        <v>2974411.4400000004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f>26830-25</f>
        <v>26805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242985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f>460060.44+1586+1586+19500+71200</f>
        <v>553932.43999999994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553932.43999999994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f>1058074.17+11928.36-4680.29</f>
        <v>1065322.24</v>
      </c>
      <c r="G11" s="14" t="s">
        <v>20</v>
      </c>
      <c r="H11" s="14" t="s">
        <v>20</v>
      </c>
      <c r="I11" s="14" t="s">
        <v>20</v>
      </c>
      <c r="J11" s="14">
        <v>189.32</v>
      </c>
      <c r="K11" s="14">
        <f t="shared" si="0"/>
        <v>1065511.56</v>
      </c>
    </row>
    <row r="12" spans="1:12" s="1" customFormat="1">
      <c r="A12" s="15"/>
      <c r="B12" s="12" t="s">
        <v>31</v>
      </c>
      <c r="C12" s="13" t="s">
        <v>32</v>
      </c>
      <c r="D12" s="14">
        <f>630+100</f>
        <v>730</v>
      </c>
      <c r="E12" s="14">
        <f>5120+510</f>
        <v>5630</v>
      </c>
      <c r="F12" s="14">
        <f>93300+6000-15500</f>
        <v>83800</v>
      </c>
      <c r="G12" s="14" t="s">
        <v>20</v>
      </c>
      <c r="H12" s="14" t="s">
        <v>20</v>
      </c>
      <c r="I12" s="14">
        <f>151176.07+6524.18-20000</f>
        <v>137700.25</v>
      </c>
      <c r="J12" s="14" t="s">
        <v>20</v>
      </c>
      <c r="K12" s="14">
        <f t="shared" si="0"/>
        <v>227860.25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f>204+794.67</f>
        <v>998.67</v>
      </c>
      <c r="F13" s="14">
        <f>8796+6962.87</f>
        <v>15758.869999999999</v>
      </c>
      <c r="G13" s="14">
        <f>22830-5000</f>
        <v>17830</v>
      </c>
      <c r="H13" s="14">
        <v>500</v>
      </c>
      <c r="I13" s="14" t="s">
        <v>20</v>
      </c>
      <c r="J13" s="14">
        <v>3600</v>
      </c>
      <c r="K13" s="14">
        <f t="shared" si="0"/>
        <v>38687.539999999994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251930.66</v>
      </c>
      <c r="E14" s="17">
        <f t="shared" ref="E14:J14" si="1">SUM(E6:E13)</f>
        <v>1209377.8199999998</v>
      </c>
      <c r="F14" s="17">
        <f t="shared" si="1"/>
        <v>14062470.010000002</v>
      </c>
      <c r="G14" s="17">
        <f t="shared" si="1"/>
        <v>7074574.2000000002</v>
      </c>
      <c r="H14" s="17">
        <f t="shared" si="1"/>
        <v>500</v>
      </c>
      <c r="I14" s="17">
        <f t="shared" si="1"/>
        <v>137700.25</v>
      </c>
      <c r="J14" s="17">
        <f t="shared" si="1"/>
        <v>76714.87000000001</v>
      </c>
      <c r="K14" s="17">
        <f>D14+E14+F14+G14+H14+I14+J14</f>
        <v>22813267.810000002</v>
      </c>
    </row>
    <row r="15" spans="1:12" s="1" customFormat="1">
      <c r="C15" s="26"/>
    </row>
    <row r="16" spans="1:12" s="1" customFormat="1" ht="27.6">
      <c r="A16" s="4"/>
      <c r="B16" s="8" t="s">
        <v>25</v>
      </c>
      <c r="C16" s="24" t="s">
        <v>36</v>
      </c>
      <c r="D16" s="9" t="s">
        <v>9</v>
      </c>
      <c r="E16" s="9" t="s">
        <v>10</v>
      </c>
      <c r="F16" s="9" t="s">
        <v>11</v>
      </c>
      <c r="G16" s="9" t="s">
        <v>12</v>
      </c>
      <c r="H16" s="9" t="s">
        <v>13</v>
      </c>
      <c r="I16" s="9" t="s">
        <v>14</v>
      </c>
      <c r="J16" s="9" t="s">
        <v>15</v>
      </c>
      <c r="K16" s="10"/>
    </row>
    <row r="17" spans="1:11" s="1" customFormat="1">
      <c r="A17" s="11" t="s">
        <v>37</v>
      </c>
      <c r="B17" s="12" t="s">
        <v>17</v>
      </c>
      <c r="C17" s="13" t="s">
        <v>38</v>
      </c>
      <c r="D17" s="14" t="s">
        <v>20</v>
      </c>
      <c r="E17" s="14" t="s">
        <v>20</v>
      </c>
      <c r="F17" s="14" t="s">
        <v>20</v>
      </c>
      <c r="G17" s="14" t="s">
        <v>20</v>
      </c>
      <c r="H17" s="14" t="s">
        <v>20</v>
      </c>
      <c r="I17" s="14" t="s">
        <v>20</v>
      </c>
      <c r="J17" s="14">
        <v>0</v>
      </c>
      <c r="K17" s="14">
        <f>D17+E17+F17+G17+H17+I17+J17</f>
        <v>0</v>
      </c>
    </row>
    <row r="18" spans="1:11" s="1" customFormat="1" ht="27.6">
      <c r="A18" s="15"/>
      <c r="B18" s="12" t="s">
        <v>21</v>
      </c>
      <c r="C18" s="13" t="s">
        <v>39</v>
      </c>
      <c r="D18" s="14" t="s">
        <v>20</v>
      </c>
      <c r="E18" s="14" t="s">
        <v>20</v>
      </c>
      <c r="F18" s="14">
        <f>652577.5+10000+11667.08+10000-95488.99-5393.86</f>
        <v>583361.73</v>
      </c>
      <c r="G18" s="14">
        <f>637000+8809.11-10000+136000-10500+5393.86</f>
        <v>766702.97</v>
      </c>
      <c r="H18" s="14" t="s">
        <v>20</v>
      </c>
      <c r="I18" s="14" t="s">
        <v>20</v>
      </c>
      <c r="J18" s="14">
        <v>131.5</v>
      </c>
      <c r="K18" s="14">
        <f>D18+E18+F18+G18+H18+I18+J18</f>
        <v>1350196.2</v>
      </c>
    </row>
    <row r="19" spans="1:11" s="1" customFormat="1" ht="44.25" customHeight="1">
      <c r="A19" s="6" t="s">
        <v>37</v>
      </c>
      <c r="B19" s="16"/>
      <c r="C19" s="25" t="s">
        <v>40</v>
      </c>
      <c r="D19" s="17">
        <f>SUM(D17:D18)</f>
        <v>0</v>
      </c>
      <c r="E19" s="17">
        <f t="shared" ref="E19:J19" si="2">SUM(E17:E18)</f>
        <v>0</v>
      </c>
      <c r="F19" s="17">
        <f>SUM(F17:F18)</f>
        <v>583361.73</v>
      </c>
      <c r="G19" s="17">
        <f t="shared" si="2"/>
        <v>766702.97</v>
      </c>
      <c r="H19" s="17">
        <f t="shared" si="2"/>
        <v>0</v>
      </c>
      <c r="I19" s="17">
        <f t="shared" si="2"/>
        <v>0</v>
      </c>
      <c r="J19" s="17">
        <f t="shared" si="2"/>
        <v>131.5</v>
      </c>
      <c r="K19" s="17">
        <f>D19+E19+F19+G19+H19+I19+J19</f>
        <v>1350196.2</v>
      </c>
    </row>
    <row r="20" spans="1:11" s="1" customFormat="1">
      <c r="C20" s="26"/>
    </row>
    <row r="21" spans="1:11" s="1" customFormat="1" ht="27.6">
      <c r="A21" s="4"/>
      <c r="B21" s="8" t="s">
        <v>27</v>
      </c>
      <c r="C21" s="24" t="s">
        <v>226</v>
      </c>
      <c r="D21" s="9" t="s">
        <v>9</v>
      </c>
      <c r="E21" s="9" t="s">
        <v>10</v>
      </c>
      <c r="F21" s="9" t="s">
        <v>11</v>
      </c>
      <c r="G21" s="9" t="s">
        <v>12</v>
      </c>
      <c r="H21" s="9" t="s">
        <v>13</v>
      </c>
      <c r="I21" s="9" t="s">
        <v>14</v>
      </c>
      <c r="J21" s="9" t="s">
        <v>15</v>
      </c>
      <c r="K21" s="10"/>
    </row>
    <row r="22" spans="1:11" s="1" customFormat="1" ht="28.5" customHeight="1">
      <c r="A22" s="11" t="s">
        <v>37</v>
      </c>
      <c r="B22" s="12" t="s">
        <v>17</v>
      </c>
      <c r="C22" s="13" t="s">
        <v>225</v>
      </c>
      <c r="D22" s="14" t="s">
        <v>20</v>
      </c>
      <c r="E22" s="14" t="s">
        <v>20</v>
      </c>
      <c r="F22" s="14" t="s">
        <v>20</v>
      </c>
      <c r="G22" s="14">
        <v>1556719.5</v>
      </c>
      <c r="H22" s="14" t="s">
        <v>20</v>
      </c>
      <c r="I22" s="14" t="s">
        <v>20</v>
      </c>
      <c r="J22" s="14">
        <v>0</v>
      </c>
      <c r="K22" s="14">
        <f>D22+E22+F22+G22+H22+I22+J22</f>
        <v>1556719.5</v>
      </c>
    </row>
    <row r="23" spans="1:11" s="1" customFormat="1" ht="27.6">
      <c r="A23" s="6" t="s">
        <v>37</v>
      </c>
      <c r="B23" s="16"/>
      <c r="C23" s="25" t="s">
        <v>227</v>
      </c>
      <c r="D23" s="17">
        <f>SUM(D22)</f>
        <v>0</v>
      </c>
      <c r="E23" s="17">
        <f t="shared" ref="E23:K23" si="3">SUM(E22)</f>
        <v>0</v>
      </c>
      <c r="F23" s="17">
        <f t="shared" si="3"/>
        <v>0</v>
      </c>
      <c r="G23" s="17">
        <f t="shared" si="3"/>
        <v>1556719.5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1556719.5</v>
      </c>
    </row>
    <row r="24" spans="1:11" s="1" customFormat="1">
      <c r="C24" s="26"/>
    </row>
    <row r="25" spans="1:11" s="1" customFormat="1">
      <c r="A25" s="4"/>
      <c r="B25" s="8" t="s">
        <v>41</v>
      </c>
      <c r="C25" s="24" t="s">
        <v>42</v>
      </c>
      <c r="D25" s="9" t="s">
        <v>9</v>
      </c>
      <c r="E25" s="9" t="s">
        <v>10</v>
      </c>
      <c r="F25" s="9" t="s">
        <v>11</v>
      </c>
      <c r="G25" s="9" t="s">
        <v>12</v>
      </c>
      <c r="H25" s="9" t="s">
        <v>13</v>
      </c>
      <c r="I25" s="9" t="s">
        <v>14</v>
      </c>
      <c r="J25" s="9" t="s">
        <v>15</v>
      </c>
      <c r="K25" s="10"/>
    </row>
    <row r="26" spans="1:11" s="1" customFormat="1">
      <c r="A26" s="11" t="s">
        <v>43</v>
      </c>
      <c r="B26" s="12" t="s">
        <v>17</v>
      </c>
      <c r="C26" s="13" t="s">
        <v>44</v>
      </c>
      <c r="D26" s="14" t="s">
        <v>20</v>
      </c>
      <c r="E26" s="14" t="s">
        <v>20</v>
      </c>
      <c r="F26" s="14" t="s">
        <v>20</v>
      </c>
      <c r="G26" s="14">
        <v>500000</v>
      </c>
      <c r="H26" s="14" t="s">
        <v>20</v>
      </c>
      <c r="I26" s="14" t="s">
        <v>20</v>
      </c>
      <c r="J26" s="14" t="s">
        <v>20</v>
      </c>
      <c r="K26" s="14">
        <f>D26+E26+F26+G26+H26+I26+J26</f>
        <v>500000</v>
      </c>
    </row>
    <row r="27" spans="1:11" s="1" customFormat="1">
      <c r="A27" s="6" t="s">
        <v>43</v>
      </c>
      <c r="B27" s="16"/>
      <c r="C27" s="25" t="s">
        <v>45</v>
      </c>
      <c r="D27" s="17">
        <f>SUM(D26)</f>
        <v>0</v>
      </c>
      <c r="E27" s="17">
        <f t="shared" ref="E27:J27" si="4">SUM(E26)</f>
        <v>0</v>
      </c>
      <c r="F27" s="17">
        <f t="shared" si="4"/>
        <v>0</v>
      </c>
      <c r="G27" s="17">
        <f t="shared" si="4"/>
        <v>500000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>D27+E27+F27+G27+H27+I27+J27</f>
        <v>500000</v>
      </c>
    </row>
    <row r="28" spans="1:11" s="1" customFormat="1">
      <c r="C28" s="26"/>
    </row>
    <row r="29" spans="1:11" s="1" customFormat="1" ht="27.6">
      <c r="A29" s="4"/>
      <c r="B29" s="8" t="s">
        <v>46</v>
      </c>
      <c r="C29" s="24" t="s">
        <v>47</v>
      </c>
      <c r="D29" s="9" t="s">
        <v>9</v>
      </c>
      <c r="E29" s="9" t="s">
        <v>10</v>
      </c>
      <c r="F29" s="9" t="s">
        <v>11</v>
      </c>
      <c r="G29" s="9" t="s">
        <v>12</v>
      </c>
      <c r="H29" s="9" t="s">
        <v>13</v>
      </c>
      <c r="I29" s="9" t="s">
        <v>14</v>
      </c>
      <c r="J29" s="9" t="s">
        <v>15</v>
      </c>
      <c r="K29" s="10"/>
    </row>
    <row r="30" spans="1:11" s="1" customFormat="1">
      <c r="A30" s="11" t="s">
        <v>48</v>
      </c>
      <c r="B30" s="12" t="s">
        <v>21</v>
      </c>
      <c r="C30" s="13" t="s">
        <v>49</v>
      </c>
      <c r="D30" s="14" t="s">
        <v>20</v>
      </c>
      <c r="E30" s="14" t="s">
        <v>20</v>
      </c>
      <c r="F30" s="14" t="s">
        <v>20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0</v>
      </c>
    </row>
    <row r="31" spans="1:11" s="1" customFormat="1">
      <c r="A31" s="15"/>
      <c r="B31" s="12" t="s">
        <v>23</v>
      </c>
      <c r="C31" s="13" t="s">
        <v>50</v>
      </c>
      <c r="D31" s="14" t="s">
        <v>20</v>
      </c>
      <c r="E31" s="14" t="s">
        <v>20</v>
      </c>
      <c r="F31" s="14">
        <v>3400</v>
      </c>
      <c r="G31" s="14">
        <v>0</v>
      </c>
      <c r="H31" s="14" t="s">
        <v>20</v>
      </c>
      <c r="I31" s="14" t="s">
        <v>20</v>
      </c>
      <c r="J31" s="14" t="s">
        <v>20</v>
      </c>
      <c r="K31" s="14">
        <f>D31+E31+F31+G31+H31+I31+J31</f>
        <v>3400</v>
      </c>
    </row>
    <row r="32" spans="1:11" s="1" customFormat="1" ht="42.75" customHeight="1">
      <c r="A32" s="6" t="s">
        <v>48</v>
      </c>
      <c r="B32" s="16"/>
      <c r="C32" s="25" t="s">
        <v>51</v>
      </c>
      <c r="D32" s="17">
        <f>SUM(D30:D31)</f>
        <v>0</v>
      </c>
      <c r="E32" s="17">
        <f t="shared" ref="E32:J32" si="5">SUM(E30:E31)</f>
        <v>0</v>
      </c>
      <c r="F32" s="17">
        <f t="shared" si="5"/>
        <v>3400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>D32+E32+F32+G32+H32+I32+J32</f>
        <v>3400</v>
      </c>
    </row>
    <row r="33" spans="1:11" s="1" customFormat="1">
      <c r="C33" s="26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f>6000+176506.18+27135-182506.18</f>
        <v>27135</v>
      </c>
      <c r="H35" s="14" t="s">
        <v>20</v>
      </c>
      <c r="I35" s="14" t="s">
        <v>20</v>
      </c>
      <c r="J35" s="14" t="s">
        <v>20</v>
      </c>
      <c r="K35" s="14">
        <f>D35+E35+F35+G35+H35+I35+J35</f>
        <v>27135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6">SUM(E35)</f>
        <v>0</v>
      </c>
      <c r="F36" s="17">
        <f t="shared" si="6"/>
        <v>0</v>
      </c>
      <c r="G36" s="17">
        <f t="shared" si="6"/>
        <v>27135</v>
      </c>
      <c r="H36" s="17">
        <f t="shared" si="6"/>
        <v>0</v>
      </c>
      <c r="I36" s="17">
        <f t="shared" si="6"/>
        <v>0</v>
      </c>
      <c r="J36" s="17">
        <f t="shared" si="6"/>
        <v>0</v>
      </c>
      <c r="K36" s="17">
        <f>D36+E36+F36+G36+H36+I36+J36</f>
        <v>27135</v>
      </c>
    </row>
    <row r="37" spans="1:11" s="1" customFormat="1">
      <c r="C37" s="26"/>
    </row>
    <row r="38" spans="1:11" s="1" customFormat="1" ht="27.6">
      <c r="A38" s="4"/>
      <c r="B38" s="8" t="s">
        <v>56</v>
      </c>
      <c r="C38" s="24" t="s">
        <v>57</v>
      </c>
      <c r="D38" s="9" t="s">
        <v>9</v>
      </c>
      <c r="E38" s="9" t="s">
        <v>10</v>
      </c>
      <c r="F38" s="9" t="s">
        <v>11</v>
      </c>
      <c r="G38" s="9" t="s">
        <v>12</v>
      </c>
      <c r="H38" s="9" t="s">
        <v>13</v>
      </c>
      <c r="I38" s="9" t="s">
        <v>14</v>
      </c>
      <c r="J38" s="9" t="s">
        <v>15</v>
      </c>
      <c r="K38" s="10"/>
    </row>
    <row r="39" spans="1:11" s="1" customFormat="1" ht="31.5" customHeight="1">
      <c r="A39" s="4"/>
      <c r="B39" s="12" t="s">
        <v>29</v>
      </c>
      <c r="C39" s="13" t="s">
        <v>224</v>
      </c>
      <c r="D39" s="14" t="s">
        <v>20</v>
      </c>
      <c r="E39" s="14" t="s">
        <v>20</v>
      </c>
      <c r="F39" s="14" t="s">
        <v>20</v>
      </c>
      <c r="G39" s="14">
        <f>100000+182506.18</f>
        <v>282506.18</v>
      </c>
      <c r="H39" s="14" t="s">
        <v>20</v>
      </c>
      <c r="I39" s="14" t="s">
        <v>20</v>
      </c>
      <c r="J39" s="14" t="s">
        <v>20</v>
      </c>
      <c r="K39" s="14">
        <f>D39+E39+F39+G39+H39+I39+J39</f>
        <v>282506.18</v>
      </c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f>5000+51247.39</f>
        <v>56247.39</v>
      </c>
      <c r="H40" s="14" t="s">
        <v>20</v>
      </c>
      <c r="I40" s="14" t="s">
        <v>20</v>
      </c>
      <c r="J40" s="14" t="s">
        <v>20</v>
      </c>
      <c r="K40" s="14">
        <f>D40+E40+F40+G40+H40+I40+J40</f>
        <v>56247.39</v>
      </c>
    </row>
    <row r="41" spans="1:11" s="1" customFormat="1" ht="27.6">
      <c r="A41" s="6" t="s">
        <v>58</v>
      </c>
      <c r="B41" s="16"/>
      <c r="C41" s="25" t="s">
        <v>60</v>
      </c>
      <c r="D41" s="17">
        <f>SUM(D39:D40)</f>
        <v>0</v>
      </c>
      <c r="E41" s="17">
        <f t="shared" ref="E41:K41" si="7">SUM(E39:E40)</f>
        <v>0</v>
      </c>
      <c r="F41" s="17">
        <f t="shared" si="7"/>
        <v>0</v>
      </c>
      <c r="G41" s="17">
        <f t="shared" si="7"/>
        <v>338753.57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338753.57</v>
      </c>
    </row>
    <row r="42" spans="1:11" s="1" customFormat="1">
      <c r="C42" s="26"/>
    </row>
    <row r="43" spans="1:11" s="1" customFormat="1" ht="27.6">
      <c r="A43" s="4"/>
      <c r="B43" s="8" t="s">
        <v>61</v>
      </c>
      <c r="C43" s="24" t="s">
        <v>62</v>
      </c>
      <c r="D43" s="9" t="s">
        <v>9</v>
      </c>
      <c r="E43" s="9" t="s">
        <v>10</v>
      </c>
      <c r="F43" s="9" t="s">
        <v>11</v>
      </c>
      <c r="G43" s="9" t="s">
        <v>12</v>
      </c>
      <c r="H43" s="9" t="s">
        <v>13</v>
      </c>
      <c r="I43" s="9" t="s">
        <v>14</v>
      </c>
      <c r="J43" s="9" t="s">
        <v>15</v>
      </c>
      <c r="K43" s="10"/>
    </row>
    <row r="44" spans="1:11" s="1" customFormat="1">
      <c r="A44" s="11" t="s">
        <v>63</v>
      </c>
      <c r="B44" s="12" t="s">
        <v>21</v>
      </c>
      <c r="C44" s="13" t="s">
        <v>64</v>
      </c>
      <c r="D44" s="14" t="s">
        <v>20</v>
      </c>
      <c r="E44" s="14" t="s">
        <v>20</v>
      </c>
      <c r="F44" s="14" t="s">
        <v>20</v>
      </c>
      <c r="G44" s="14">
        <f>50000+43000</f>
        <v>93000</v>
      </c>
      <c r="H44" s="14" t="s">
        <v>20</v>
      </c>
      <c r="I44" s="14" t="s">
        <v>20</v>
      </c>
      <c r="J44" s="14" t="s">
        <v>20</v>
      </c>
      <c r="K44" s="14">
        <f>D44+E44+F44+G44+H44+I44+J44</f>
        <v>93000</v>
      </c>
    </row>
    <row r="45" spans="1:11" s="1" customFormat="1">
      <c r="A45" s="15"/>
      <c r="B45" s="12" t="s">
        <v>23</v>
      </c>
      <c r="C45" s="13" t="s">
        <v>65</v>
      </c>
      <c r="D45" s="14" t="s">
        <v>20</v>
      </c>
      <c r="E45" s="14" t="s">
        <v>20</v>
      </c>
      <c r="F45" s="14" t="s">
        <v>20</v>
      </c>
      <c r="G45" s="14">
        <v>100000</v>
      </c>
      <c r="H45" s="14" t="s">
        <v>20</v>
      </c>
      <c r="I45" s="14" t="s">
        <v>20</v>
      </c>
      <c r="J45" s="14" t="s">
        <v>20</v>
      </c>
      <c r="K45" s="14">
        <f>D45+E45+F45+G45+H45+I45+J45</f>
        <v>100000</v>
      </c>
    </row>
    <row r="46" spans="1:11" s="1" customFormat="1" ht="27.6">
      <c r="A46" s="6" t="s">
        <v>63</v>
      </c>
      <c r="B46" s="16"/>
      <c r="C46" s="25" t="s">
        <v>66</v>
      </c>
      <c r="D46" s="17">
        <f>SUM(D44:D45)</f>
        <v>0</v>
      </c>
      <c r="E46" s="17">
        <f t="shared" ref="E46:J46" si="8">SUM(E44:E45)</f>
        <v>0</v>
      </c>
      <c r="F46" s="17">
        <f t="shared" si="8"/>
        <v>0</v>
      </c>
      <c r="G46" s="17">
        <f t="shared" si="8"/>
        <v>193000</v>
      </c>
      <c r="H46" s="17">
        <f t="shared" si="8"/>
        <v>0</v>
      </c>
      <c r="I46" s="17">
        <f t="shared" si="8"/>
        <v>0</v>
      </c>
      <c r="J46" s="17">
        <f t="shared" si="8"/>
        <v>0</v>
      </c>
      <c r="K46" s="17">
        <f>D46+E46+F46+G46+H46+I46+J46</f>
        <v>193000</v>
      </c>
    </row>
    <row r="47" spans="1:11" s="1" customFormat="1">
      <c r="C47" s="26"/>
    </row>
    <row r="48" spans="1:11" s="1" customFormat="1" ht="27.6">
      <c r="A48" s="4"/>
      <c r="B48" s="8" t="s">
        <v>67</v>
      </c>
      <c r="C48" s="24" t="s">
        <v>68</v>
      </c>
      <c r="D48" s="9" t="s">
        <v>9</v>
      </c>
      <c r="E48" s="9" t="s">
        <v>10</v>
      </c>
      <c r="F48" s="9" t="s">
        <v>11</v>
      </c>
      <c r="G48" s="9" t="s">
        <v>12</v>
      </c>
      <c r="H48" s="9" t="s">
        <v>13</v>
      </c>
      <c r="I48" s="9" t="s">
        <v>14</v>
      </c>
      <c r="J48" s="9" t="s">
        <v>15</v>
      </c>
      <c r="K48" s="10"/>
    </row>
    <row r="49" spans="1:12" s="1" customFormat="1" ht="41.4">
      <c r="A49" s="11" t="s">
        <v>69</v>
      </c>
      <c r="B49" s="12" t="s">
        <v>21</v>
      </c>
      <c r="C49" s="13" t="s">
        <v>70</v>
      </c>
      <c r="D49" s="14" t="s">
        <v>20</v>
      </c>
      <c r="E49" s="14" t="s">
        <v>20</v>
      </c>
      <c r="F49" s="14" t="s">
        <v>20</v>
      </c>
      <c r="G49" s="14">
        <v>62000</v>
      </c>
      <c r="H49" s="14" t="s">
        <v>20</v>
      </c>
      <c r="I49" s="14" t="s">
        <v>20</v>
      </c>
      <c r="J49" s="14" t="s">
        <v>20</v>
      </c>
      <c r="K49" s="14">
        <f>D49+E49+F49+G49+H49+I49+J49</f>
        <v>62000</v>
      </c>
    </row>
    <row r="50" spans="1:12" s="1" customFormat="1" ht="27.6">
      <c r="A50" s="6" t="s">
        <v>69</v>
      </c>
      <c r="B50" s="16"/>
      <c r="C50" s="25" t="s">
        <v>71</v>
      </c>
      <c r="D50" s="17">
        <f t="shared" ref="D50:J50" si="9">SUM(D48:D49)</f>
        <v>0</v>
      </c>
      <c r="E50" s="17">
        <f t="shared" si="9"/>
        <v>0</v>
      </c>
      <c r="F50" s="17">
        <f t="shared" si="9"/>
        <v>0</v>
      </c>
      <c r="G50" s="17">
        <f t="shared" si="9"/>
        <v>62000</v>
      </c>
      <c r="H50" s="17">
        <f t="shared" si="9"/>
        <v>0</v>
      </c>
      <c r="I50" s="17">
        <f t="shared" si="9"/>
        <v>0</v>
      </c>
      <c r="J50" s="17">
        <f t="shared" si="9"/>
        <v>0</v>
      </c>
      <c r="K50" s="17">
        <f>D50+E50+F50+G50+H50+I50+J50</f>
        <v>62000</v>
      </c>
    </row>
    <row r="51" spans="1:12" s="1" customFormat="1">
      <c r="C51" s="26"/>
    </row>
    <row r="52" spans="1:12" s="1" customFormat="1">
      <c r="A52" s="4"/>
      <c r="B52" s="8" t="s">
        <v>72</v>
      </c>
      <c r="C52" s="24" t="s">
        <v>73</v>
      </c>
      <c r="D52" s="9" t="s">
        <v>9</v>
      </c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9" t="s">
        <v>15</v>
      </c>
      <c r="K52" s="10"/>
    </row>
    <row r="53" spans="1:12" s="1" customFormat="1">
      <c r="A53" s="11" t="s">
        <v>74</v>
      </c>
      <c r="B53" s="12" t="s">
        <v>17</v>
      </c>
      <c r="C53" s="13" t="s">
        <v>75</v>
      </c>
      <c r="D53" s="14" t="s">
        <v>20</v>
      </c>
      <c r="E53" s="14" t="s">
        <v>20</v>
      </c>
      <c r="F53" s="14" t="s">
        <v>20</v>
      </c>
      <c r="G53" s="14" t="s">
        <v>20</v>
      </c>
      <c r="H53" s="14" t="s">
        <v>20</v>
      </c>
      <c r="I53" s="14" t="s">
        <v>20</v>
      </c>
      <c r="J53" s="14">
        <f>237320-6400-3666.06-41000-15000</f>
        <v>171253.94</v>
      </c>
      <c r="K53" s="14">
        <f>D53+E53+F53+G53+H53+I53+J53</f>
        <v>171253.94</v>
      </c>
    </row>
    <row r="54" spans="1:12" s="1" customFormat="1">
      <c r="A54" s="15"/>
      <c r="B54" s="12" t="s">
        <v>21</v>
      </c>
      <c r="C54" s="13" t="s">
        <v>76</v>
      </c>
      <c r="D54" s="14" t="s">
        <v>20</v>
      </c>
      <c r="E54" s="14" t="s">
        <v>20</v>
      </c>
      <c r="F54" s="14" t="s">
        <v>20</v>
      </c>
      <c r="G54" s="14" t="s">
        <v>20</v>
      </c>
      <c r="H54" s="14" t="s">
        <v>20</v>
      </c>
      <c r="I54" s="14" t="s">
        <v>20</v>
      </c>
      <c r="J54" s="14">
        <v>0</v>
      </c>
      <c r="K54" s="14">
        <f>D54+E54+F54+G54+H54+I54+J54</f>
        <v>0</v>
      </c>
    </row>
    <row r="55" spans="1:12" s="1" customFormat="1">
      <c r="A55" s="15"/>
      <c r="B55" s="12" t="s">
        <v>23</v>
      </c>
      <c r="C55" s="13" t="s">
        <v>77</v>
      </c>
      <c r="D55" s="14" t="s">
        <v>20</v>
      </c>
      <c r="E55" s="14" t="s">
        <v>20</v>
      </c>
      <c r="F55" s="14" t="s">
        <v>20</v>
      </c>
      <c r="G55" s="14" t="s">
        <v>20</v>
      </c>
      <c r="H55" s="14" t="s">
        <v>20</v>
      </c>
      <c r="I55" s="14" t="s">
        <v>20</v>
      </c>
      <c r="J55" s="14">
        <f>250000+3197932.41-279000+2086243.49+404599.51-2056719.5</f>
        <v>3603055.91</v>
      </c>
      <c r="K55" s="14">
        <f>D55+E55+F55+G55+H55+I55+J55</f>
        <v>3603055.91</v>
      </c>
    </row>
    <row r="56" spans="1:12" s="1" customFormat="1">
      <c r="A56" s="6" t="s">
        <v>74</v>
      </c>
      <c r="B56" s="16"/>
      <c r="C56" s="25" t="s">
        <v>78</v>
      </c>
      <c r="D56" s="17">
        <f>SUM(D53:D55)</f>
        <v>0</v>
      </c>
      <c r="E56" s="17">
        <f t="shared" ref="E56:J56" si="10">SUM(E53:E55)</f>
        <v>0</v>
      </c>
      <c r="F56" s="17">
        <f t="shared" si="10"/>
        <v>0</v>
      </c>
      <c r="G56" s="17">
        <f t="shared" si="10"/>
        <v>0</v>
      </c>
      <c r="H56" s="17">
        <f t="shared" si="10"/>
        <v>0</v>
      </c>
      <c r="I56" s="17">
        <f t="shared" si="10"/>
        <v>0</v>
      </c>
      <c r="J56" s="17">
        <f t="shared" si="10"/>
        <v>3774309.85</v>
      </c>
      <c r="K56" s="17">
        <f>D56+E56+F56+G56+H56+I56+J56</f>
        <v>3774309.85</v>
      </c>
    </row>
    <row r="57" spans="1:12" s="1" customFormat="1">
      <c r="C57" s="26"/>
    </row>
    <row r="58" spans="1:12" s="1" customFormat="1">
      <c r="A58" s="18"/>
      <c r="B58" s="19"/>
      <c r="C58" s="27"/>
      <c r="D58" s="20"/>
      <c r="E58" s="20"/>
      <c r="F58" s="20"/>
      <c r="G58" s="20"/>
      <c r="H58" s="20"/>
      <c r="I58" s="20"/>
      <c r="J58" s="20"/>
      <c r="K58" s="20"/>
    </row>
    <row r="59" spans="1:12" s="1" customFormat="1">
      <c r="A59" s="18"/>
      <c r="B59" s="235" t="s">
        <v>79</v>
      </c>
      <c r="C59" s="235"/>
      <c r="D59" s="21">
        <f t="shared" ref="D59:K59" si="11">D56+D50+D46+D41+D36+D32+D27+D19+D14+D23</f>
        <v>251930.66</v>
      </c>
      <c r="E59" s="21">
        <f t="shared" si="11"/>
        <v>1209377.8199999998</v>
      </c>
      <c r="F59" s="21">
        <f t="shared" si="11"/>
        <v>14649231.740000002</v>
      </c>
      <c r="G59" s="21">
        <f t="shared" si="11"/>
        <v>10518885.24</v>
      </c>
      <c r="H59" s="21">
        <f t="shared" si="11"/>
        <v>500</v>
      </c>
      <c r="I59" s="21">
        <f t="shared" si="11"/>
        <v>137700.25</v>
      </c>
      <c r="J59" s="21">
        <f t="shared" si="11"/>
        <v>3851156.22</v>
      </c>
      <c r="K59" s="21">
        <f t="shared" si="11"/>
        <v>30618781.930000003</v>
      </c>
    </row>
    <row r="61" spans="1:12">
      <c r="D61" s="29"/>
      <c r="E61" s="29"/>
      <c r="F61" s="29"/>
      <c r="G61" s="29"/>
      <c r="H61" s="29"/>
      <c r="I61" s="29"/>
      <c r="J61" s="29"/>
      <c r="K61" s="29"/>
      <c r="L61" s="29"/>
    </row>
    <row r="62" spans="1:12">
      <c r="D62" s="29">
        <v>251930.66</v>
      </c>
      <c r="E62" s="29">
        <v>1194377.8199999998</v>
      </c>
      <c r="F62" s="29">
        <v>14654625.600000001</v>
      </c>
      <c r="G62" s="29">
        <v>10513491.380000001</v>
      </c>
      <c r="H62" s="29">
        <v>500</v>
      </c>
      <c r="I62" s="29">
        <v>137700.25</v>
      </c>
      <c r="J62" s="29">
        <v>3866156.22</v>
      </c>
      <c r="K62" s="29">
        <v>30618781.930000003</v>
      </c>
      <c r="L62" s="29"/>
    </row>
    <row r="63" spans="1:12">
      <c r="D63" s="29"/>
      <c r="E63" s="29"/>
      <c r="F63" s="29"/>
      <c r="G63" s="29"/>
      <c r="H63" s="29"/>
      <c r="I63" s="29"/>
      <c r="J63" s="29"/>
      <c r="K63" s="29"/>
      <c r="L63" s="29"/>
    </row>
    <row r="64" spans="1:12">
      <c r="D64" s="216">
        <f>D59-D62</f>
        <v>0</v>
      </c>
      <c r="E64" s="216">
        <f t="shared" ref="E64:K64" si="12">E59-E62</f>
        <v>15000</v>
      </c>
      <c r="F64" s="216">
        <f t="shared" si="12"/>
        <v>-5393.859999999404</v>
      </c>
      <c r="G64" s="216">
        <f t="shared" si="12"/>
        <v>5393.859999999404</v>
      </c>
      <c r="H64" s="216">
        <f t="shared" si="12"/>
        <v>0</v>
      </c>
      <c r="I64" s="216">
        <f t="shared" si="12"/>
        <v>0</v>
      </c>
      <c r="J64" s="216">
        <f t="shared" si="12"/>
        <v>-15000</v>
      </c>
      <c r="K64" s="216">
        <f t="shared" si="12"/>
        <v>0</v>
      </c>
      <c r="L64" s="29"/>
    </row>
    <row r="65" spans="4:12">
      <c r="D65" s="29"/>
      <c r="E65" s="29"/>
      <c r="F65" s="29"/>
      <c r="G65" s="29"/>
      <c r="H65" s="29"/>
      <c r="I65" s="29"/>
      <c r="J65" s="29"/>
      <c r="K65" s="29"/>
      <c r="L65" s="29"/>
    </row>
    <row r="66" spans="4:12">
      <c r="D66" s="29"/>
      <c r="E66" s="29"/>
      <c r="F66" s="29"/>
      <c r="G66" s="29"/>
      <c r="H66" s="29"/>
      <c r="I66" s="29"/>
      <c r="J66" s="29"/>
      <c r="K66" s="29"/>
      <c r="L66" s="29"/>
    </row>
    <row r="67" spans="4:12">
      <c r="D67" s="29"/>
      <c r="E67" s="29"/>
      <c r="F67" s="29"/>
      <c r="G67" s="29"/>
      <c r="H67" s="29"/>
      <c r="I67" s="29"/>
      <c r="J67" s="29"/>
      <c r="K67" s="29"/>
    </row>
  </sheetData>
  <mergeCells count="3">
    <mergeCell ref="B2:C3"/>
    <mergeCell ref="B59:C59"/>
    <mergeCell ref="A1:K1"/>
  </mergeCells>
  <pageMargins left="0.78740157480314965" right="0.78740157480314965" top="0.98425196850393704" bottom="0.98425196850393704" header="0.51181102362204722" footer="0.51181102362204722"/>
  <pageSetup paperSize="9" scale="58" fitToWidth="3" fitToHeight="3" orientation="landscape" r:id="rId1"/>
  <headerFooter alignWithMargins="0"/>
  <rowBreaks count="1" manualBreakCount="1">
    <brk id="2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0"/>
  <sheetViews>
    <sheetView view="pageBreakPreview" topLeftCell="A19" zoomScale="80" zoomScaleNormal="70" zoomScaleSheetLayoutView="80" workbookViewId="0">
      <selection activeCell="D68" sqref="D68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6" t="s">
        <v>81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2"/>
    </row>
    <row r="2" spans="1:12" s="1" customFormat="1" ht="55.2">
      <c r="B2" s="234" t="s">
        <v>0</v>
      </c>
      <c r="C2" s="234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34"/>
      <c r="C3" s="234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943843</v>
      </c>
      <c r="F6" s="14">
        <v>7818025.3200000003</v>
      </c>
      <c r="G6" s="14">
        <f>7562550-51000</f>
        <v>7511550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16275418.32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f>261400-9000</f>
        <v>252400</v>
      </c>
      <c r="E8" s="14">
        <v>9411.17</v>
      </c>
      <c r="F8" s="14">
        <v>2308047.25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2633218.4299999997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377000</v>
      </c>
      <c r="G10" s="14" t="s">
        <v>20</v>
      </c>
      <c r="H10" s="14" t="s">
        <v>20</v>
      </c>
      <c r="I10" s="14" t="s">
        <v>20</v>
      </c>
      <c r="J10" s="14">
        <v>14575</v>
      </c>
      <c r="K10" s="14">
        <f t="shared" si="0"/>
        <v>391575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1064513.7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1064513.7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95300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242226.07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23200</v>
      </c>
      <c r="H13" s="14">
        <v>500</v>
      </c>
      <c r="I13" s="14" t="s">
        <v>20</v>
      </c>
      <c r="J13" s="14">
        <v>3600</v>
      </c>
      <c r="K13" s="14">
        <f>D13+E13+F13+G13+H13+I13+J13</f>
        <v>36300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253030</v>
      </c>
      <c r="E14" s="17">
        <f t="shared" ref="E14:J14" si="1">SUM(E6:E13)</f>
        <v>1168758.17</v>
      </c>
      <c r="F14" s="17">
        <f t="shared" si="1"/>
        <v>11725602.27</v>
      </c>
      <c r="G14" s="17">
        <f t="shared" si="1"/>
        <v>7534750</v>
      </c>
      <c r="H14" s="17">
        <f t="shared" si="1"/>
        <v>500</v>
      </c>
      <c r="I14" s="17">
        <f t="shared" si="1"/>
        <v>141176.07</v>
      </c>
      <c r="J14" s="17">
        <f t="shared" si="1"/>
        <v>89535.010000000009</v>
      </c>
      <c r="K14" s="17">
        <f>D14+E14+F14+G14+H14+I14+J14</f>
        <v>20913351.52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784022.48+131.5-5000</f>
        <v>779153.98</v>
      </c>
      <c r="G19" s="14">
        <f>687000-35000</f>
        <v>652000</v>
      </c>
      <c r="H19" s="14" t="s">
        <v>20</v>
      </c>
      <c r="I19" s="14" t="s">
        <v>20</v>
      </c>
      <c r="J19" s="14">
        <v>0</v>
      </c>
      <c r="K19" s="14">
        <f>D19+E19+F19+G19+H19+I19+J19</f>
        <v>1431153.98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779153.98</v>
      </c>
      <c r="G20" s="17">
        <f t="shared" si="2"/>
        <v>652000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1431153.98</v>
      </c>
    </row>
    <row r="21" spans="1:11" s="1" customFormat="1">
      <c r="A21" s="6"/>
      <c r="B21" s="217"/>
      <c r="C21" s="218"/>
      <c r="D21" s="219"/>
      <c r="E21" s="219"/>
      <c r="F21" s="219"/>
      <c r="G21" s="219"/>
      <c r="H21" s="219"/>
      <c r="I21" s="219"/>
      <c r="J21" s="219"/>
      <c r="K21" s="219"/>
    </row>
    <row r="22" spans="1:11" s="1" customFormat="1" ht="27.6">
      <c r="A22" s="4"/>
      <c r="B22" s="8" t="s">
        <v>27</v>
      </c>
      <c r="C22" s="24" t="s">
        <v>226</v>
      </c>
      <c r="D22" s="9" t="s">
        <v>9</v>
      </c>
      <c r="E22" s="9" t="s">
        <v>10</v>
      </c>
      <c r="F22" s="9" t="s">
        <v>11</v>
      </c>
      <c r="G22" s="9" t="s">
        <v>12</v>
      </c>
      <c r="H22" s="9" t="s">
        <v>13</v>
      </c>
      <c r="I22" s="9" t="s">
        <v>14</v>
      </c>
      <c r="J22" s="9" t="s">
        <v>15</v>
      </c>
      <c r="K22" s="10"/>
    </row>
    <row r="23" spans="1:11" s="1" customFormat="1" ht="28.5" customHeight="1">
      <c r="A23" s="11" t="s">
        <v>37</v>
      </c>
      <c r="B23" s="12" t="s">
        <v>17</v>
      </c>
      <c r="C23" s="13" t="s">
        <v>225</v>
      </c>
      <c r="D23" s="14" t="s">
        <v>20</v>
      </c>
      <c r="E23" s="14" t="s">
        <v>20</v>
      </c>
      <c r="F23" s="14" t="s">
        <v>20</v>
      </c>
      <c r="G23" s="14" t="s">
        <v>20</v>
      </c>
      <c r="H23" s="14" t="s">
        <v>20</v>
      </c>
      <c r="I23" s="14" t="s">
        <v>20</v>
      </c>
      <c r="J23" s="14">
        <v>0</v>
      </c>
      <c r="K23" s="14">
        <f>D23+E23+F23+G23+H23+I23+J23</f>
        <v>0</v>
      </c>
    </row>
    <row r="24" spans="1:11" s="1" customFormat="1" ht="27.6">
      <c r="A24" s="6" t="s">
        <v>37</v>
      </c>
      <c r="B24" s="16"/>
      <c r="C24" s="25" t="s">
        <v>227</v>
      </c>
      <c r="D24" s="17">
        <f>SUM(D23)</f>
        <v>0</v>
      </c>
      <c r="E24" s="17">
        <f t="shared" ref="E24:K24" si="3">SUM(E23)</f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</row>
    <row r="25" spans="1:11" s="1" customFormat="1">
      <c r="A25" s="6"/>
      <c r="B25" s="217"/>
      <c r="C25" s="218"/>
      <c r="D25" s="219"/>
      <c r="E25" s="219"/>
      <c r="F25" s="219"/>
      <c r="G25" s="219"/>
      <c r="H25" s="219"/>
      <c r="I25" s="219"/>
      <c r="J25" s="219"/>
      <c r="K25" s="219"/>
    </row>
    <row r="26" spans="1:11" s="1" customFormat="1">
      <c r="A26" s="4"/>
      <c r="B26" s="8" t="s">
        <v>41</v>
      </c>
      <c r="C26" s="24" t="s">
        <v>42</v>
      </c>
      <c r="D26" s="9" t="s">
        <v>9</v>
      </c>
      <c r="E26" s="9" t="s">
        <v>10</v>
      </c>
      <c r="F26" s="9" t="s">
        <v>11</v>
      </c>
      <c r="G26" s="9" t="s">
        <v>12</v>
      </c>
      <c r="H26" s="9" t="s">
        <v>13</v>
      </c>
      <c r="I26" s="9" t="s">
        <v>14</v>
      </c>
      <c r="J26" s="9" t="s">
        <v>15</v>
      </c>
      <c r="K26" s="10"/>
    </row>
    <row r="27" spans="1:11" s="1" customFormat="1">
      <c r="A27" s="11" t="s">
        <v>43</v>
      </c>
      <c r="B27" s="12" t="s">
        <v>17</v>
      </c>
      <c r="C27" s="13" t="s">
        <v>44</v>
      </c>
      <c r="D27" s="14" t="s">
        <v>20</v>
      </c>
      <c r="E27" s="14" t="s">
        <v>20</v>
      </c>
      <c r="F27" s="14" t="s">
        <v>20</v>
      </c>
      <c r="G27" s="14">
        <v>0</v>
      </c>
      <c r="H27" s="14" t="s">
        <v>20</v>
      </c>
      <c r="I27" s="14" t="s">
        <v>20</v>
      </c>
      <c r="J27" s="14" t="s">
        <v>20</v>
      </c>
      <c r="K27" s="14">
        <f>D27+E27+F27+G27+H27+I27+J27</f>
        <v>0</v>
      </c>
    </row>
    <row r="28" spans="1:11" s="1" customFormat="1">
      <c r="A28" s="6" t="s">
        <v>43</v>
      </c>
      <c r="B28" s="16"/>
      <c r="C28" s="25" t="s">
        <v>45</v>
      </c>
      <c r="D28" s="17">
        <f>SUM(D27)</f>
        <v>0</v>
      </c>
      <c r="E28" s="17">
        <f t="shared" ref="E28:J28" si="4">SUM(E27)</f>
        <v>0</v>
      </c>
      <c r="F28" s="17">
        <f t="shared" si="4"/>
        <v>0</v>
      </c>
      <c r="G28" s="17">
        <f t="shared" si="4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>D28+E28+F28+G28+H28+I28+J28</f>
        <v>0</v>
      </c>
    </row>
    <row r="29" spans="1:11" s="1" customFormat="1">
      <c r="C29" s="26"/>
    </row>
    <row r="30" spans="1:11" s="1" customFormat="1">
      <c r="A30" s="4"/>
      <c r="B30" s="5"/>
      <c r="C30" s="23"/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6" t="s">
        <v>7</v>
      </c>
      <c r="K30" s="7"/>
    </row>
    <row r="31" spans="1:11" s="1" customFormat="1" ht="27.6">
      <c r="A31" s="4"/>
      <c r="B31" s="8" t="s">
        <v>46</v>
      </c>
      <c r="C31" s="24" t="s">
        <v>47</v>
      </c>
      <c r="D31" s="9" t="s">
        <v>9</v>
      </c>
      <c r="E31" s="9" t="s">
        <v>10</v>
      </c>
      <c r="F31" s="9" t="s">
        <v>11</v>
      </c>
      <c r="G31" s="9" t="s">
        <v>12</v>
      </c>
      <c r="H31" s="9" t="s">
        <v>13</v>
      </c>
      <c r="I31" s="9" t="s">
        <v>14</v>
      </c>
      <c r="J31" s="9" t="s">
        <v>15</v>
      </c>
      <c r="K31" s="10"/>
    </row>
    <row r="32" spans="1:11" s="1" customFormat="1">
      <c r="A32" s="11" t="s">
        <v>48</v>
      </c>
      <c r="B32" s="12" t="s">
        <v>21</v>
      </c>
      <c r="C32" s="13" t="s">
        <v>49</v>
      </c>
      <c r="D32" s="14" t="s">
        <v>20</v>
      </c>
      <c r="E32" s="14" t="s">
        <v>20</v>
      </c>
      <c r="F32" s="14" t="s">
        <v>20</v>
      </c>
      <c r="G32" s="14">
        <v>0</v>
      </c>
      <c r="H32" s="14" t="s">
        <v>20</v>
      </c>
      <c r="I32" s="14" t="s">
        <v>20</v>
      </c>
      <c r="J32" s="14" t="s">
        <v>20</v>
      </c>
      <c r="K32" s="14">
        <f>D32+E32+F32+G32+H32+I32+J32</f>
        <v>0</v>
      </c>
    </row>
    <row r="33" spans="1:11" s="1" customFormat="1">
      <c r="A33" s="15"/>
      <c r="B33" s="12" t="s">
        <v>23</v>
      </c>
      <c r="C33" s="13" t="s">
        <v>50</v>
      </c>
      <c r="D33" s="14" t="s">
        <v>20</v>
      </c>
      <c r="E33" s="14" t="s">
        <v>20</v>
      </c>
      <c r="F33" s="14">
        <v>3400</v>
      </c>
      <c r="G33" s="14">
        <v>0</v>
      </c>
      <c r="H33" s="14" t="s">
        <v>20</v>
      </c>
      <c r="I33" s="14" t="s">
        <v>20</v>
      </c>
      <c r="J33" s="14" t="s">
        <v>20</v>
      </c>
      <c r="K33" s="14">
        <f>D33+E33+F33+G33+H33+I33+J33</f>
        <v>3400</v>
      </c>
    </row>
    <row r="34" spans="1:11" s="1" customFormat="1" ht="27.6">
      <c r="A34" s="6" t="s">
        <v>48</v>
      </c>
      <c r="B34" s="16"/>
      <c r="C34" s="25" t="s">
        <v>51</v>
      </c>
      <c r="D34" s="17">
        <f>SUM(D32:D33)</f>
        <v>0</v>
      </c>
      <c r="E34" s="17">
        <f t="shared" ref="E34:J34" si="5">SUM(E32:E33)</f>
        <v>0</v>
      </c>
      <c r="F34" s="17">
        <f t="shared" si="5"/>
        <v>3400</v>
      </c>
      <c r="G34" s="17">
        <f t="shared" si="5"/>
        <v>0</v>
      </c>
      <c r="H34" s="17">
        <f t="shared" si="5"/>
        <v>0</v>
      </c>
      <c r="I34" s="17">
        <f t="shared" si="5"/>
        <v>0</v>
      </c>
      <c r="J34" s="17">
        <f t="shared" si="5"/>
        <v>0</v>
      </c>
      <c r="K34" s="17">
        <f>D34+E34+F34+G34+H34+I34+J34</f>
        <v>3400</v>
      </c>
    </row>
    <row r="35" spans="1:11" s="1" customFormat="1">
      <c r="C35" s="26"/>
    </row>
    <row r="36" spans="1:11" s="1" customFormat="1">
      <c r="A36" s="4"/>
      <c r="B36" s="5"/>
      <c r="C36" s="23"/>
      <c r="D36" s="6" t="s">
        <v>1</v>
      </c>
      <c r="E36" s="6" t="s">
        <v>2</v>
      </c>
      <c r="F36" s="6" t="s">
        <v>3</v>
      </c>
      <c r="G36" s="6" t="s">
        <v>4</v>
      </c>
      <c r="H36" s="6" t="s">
        <v>5</v>
      </c>
      <c r="I36" s="6" t="s">
        <v>6</v>
      </c>
      <c r="J36" s="6" t="s">
        <v>7</v>
      </c>
      <c r="K36" s="7"/>
    </row>
    <row r="37" spans="1:11" s="1" customFormat="1">
      <c r="A37" s="4"/>
      <c r="B37" s="8" t="s">
        <v>33</v>
      </c>
      <c r="C37" s="24" t="s">
        <v>52</v>
      </c>
      <c r="D37" s="9" t="s">
        <v>9</v>
      </c>
      <c r="E37" s="9" t="s">
        <v>10</v>
      </c>
      <c r="F37" s="9" t="s">
        <v>11</v>
      </c>
      <c r="G37" s="9" t="s">
        <v>12</v>
      </c>
      <c r="H37" s="9" t="s">
        <v>13</v>
      </c>
      <c r="I37" s="9" t="s">
        <v>14</v>
      </c>
      <c r="J37" s="9" t="s">
        <v>15</v>
      </c>
      <c r="K37" s="10"/>
    </row>
    <row r="38" spans="1:11" s="1" customFormat="1">
      <c r="A38" s="11" t="s">
        <v>53</v>
      </c>
      <c r="B38" s="12" t="s">
        <v>21</v>
      </c>
      <c r="C38" s="13" t="s">
        <v>54</v>
      </c>
      <c r="D38" s="14" t="s">
        <v>20</v>
      </c>
      <c r="E38" s="14" t="s">
        <v>20</v>
      </c>
      <c r="F38" s="14" t="s">
        <v>20</v>
      </c>
      <c r="G38" s="14">
        <v>6000</v>
      </c>
      <c r="H38" s="14" t="s">
        <v>20</v>
      </c>
      <c r="I38" s="14" t="s">
        <v>20</v>
      </c>
      <c r="J38" s="14" t="s">
        <v>20</v>
      </c>
      <c r="K38" s="14">
        <f>D38+E38+F38+G38+H38+I38+J38</f>
        <v>6000</v>
      </c>
    </row>
    <row r="39" spans="1:11" s="1" customFormat="1">
      <c r="A39" s="6" t="s">
        <v>53</v>
      </c>
      <c r="B39" s="16"/>
      <c r="C39" s="25" t="s">
        <v>55</v>
      </c>
      <c r="D39" s="17">
        <f>SUM(D38)</f>
        <v>0</v>
      </c>
      <c r="E39" s="17">
        <f t="shared" ref="E39:J39" si="6">SUM(E38)</f>
        <v>0</v>
      </c>
      <c r="F39" s="17">
        <f t="shared" si="6"/>
        <v>0</v>
      </c>
      <c r="G39" s="17">
        <f t="shared" si="6"/>
        <v>6000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>D39+E39+F39+G39+H39+I39+J39</f>
        <v>6000</v>
      </c>
    </row>
    <row r="40" spans="1:11" s="1" customFormat="1">
      <c r="C40" s="26"/>
    </row>
    <row r="41" spans="1:11" s="1" customFormat="1">
      <c r="A41" s="4"/>
      <c r="B41" s="5"/>
      <c r="C41" s="23"/>
      <c r="D41" s="6" t="s">
        <v>1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6</v>
      </c>
      <c r="J41" s="6" t="s">
        <v>7</v>
      </c>
      <c r="K41" s="7"/>
    </row>
    <row r="42" spans="1:11" s="1" customFormat="1" ht="27.6">
      <c r="A42" s="4"/>
      <c r="B42" s="8" t="s">
        <v>56</v>
      </c>
      <c r="C42" s="24" t="s">
        <v>57</v>
      </c>
      <c r="D42" s="9" t="s">
        <v>9</v>
      </c>
      <c r="E42" s="9" t="s">
        <v>10</v>
      </c>
      <c r="F42" s="9" t="s">
        <v>11</v>
      </c>
      <c r="G42" s="9" t="s">
        <v>12</v>
      </c>
      <c r="H42" s="9" t="s">
        <v>13</v>
      </c>
      <c r="I42" s="9" t="s">
        <v>14</v>
      </c>
      <c r="J42" s="9" t="s">
        <v>15</v>
      </c>
      <c r="K42" s="10"/>
    </row>
    <row r="43" spans="1:11" s="1" customFormat="1" ht="27.6">
      <c r="A43" s="11" t="s">
        <v>58</v>
      </c>
      <c r="B43" s="12" t="s">
        <v>31</v>
      </c>
      <c r="C43" s="13" t="s">
        <v>59</v>
      </c>
      <c r="D43" s="14" t="s">
        <v>20</v>
      </c>
      <c r="E43" s="14" t="s">
        <v>20</v>
      </c>
      <c r="F43" s="14" t="s">
        <v>20</v>
      </c>
      <c r="G43" s="14">
        <v>5000</v>
      </c>
      <c r="H43" s="14" t="s">
        <v>20</v>
      </c>
      <c r="I43" s="14" t="s">
        <v>20</v>
      </c>
      <c r="J43" s="14" t="s">
        <v>20</v>
      </c>
      <c r="K43" s="14">
        <f>D43+E43+F43+G43+H43+I43+J43</f>
        <v>5000</v>
      </c>
    </row>
    <row r="44" spans="1:11" s="1" customFormat="1" ht="27.6">
      <c r="A44" s="6" t="s">
        <v>58</v>
      </c>
      <c r="B44" s="16"/>
      <c r="C44" s="25" t="s">
        <v>60</v>
      </c>
      <c r="D44" s="17">
        <f>SUM(D43)</f>
        <v>0</v>
      </c>
      <c r="E44" s="17">
        <f t="shared" ref="E44:J44" si="7">SUM(E43)</f>
        <v>0</v>
      </c>
      <c r="F44" s="17">
        <f t="shared" si="7"/>
        <v>0</v>
      </c>
      <c r="G44" s="17">
        <f t="shared" si="7"/>
        <v>5000</v>
      </c>
      <c r="H44" s="17">
        <f t="shared" si="7"/>
        <v>0</v>
      </c>
      <c r="I44" s="17">
        <f t="shared" si="7"/>
        <v>0</v>
      </c>
      <c r="J44" s="17">
        <f t="shared" si="7"/>
        <v>0</v>
      </c>
      <c r="K44" s="17">
        <f>D44+E44+F44+G44+H44+I44+J44</f>
        <v>5000</v>
      </c>
    </row>
    <row r="45" spans="1:11" s="1" customFormat="1">
      <c r="C45" s="26"/>
    </row>
    <row r="46" spans="1:11" s="1" customFormat="1">
      <c r="A46" s="4"/>
      <c r="B46" s="5"/>
      <c r="C46" s="23"/>
      <c r="D46" s="6" t="s">
        <v>1</v>
      </c>
      <c r="E46" s="6" t="s">
        <v>2</v>
      </c>
      <c r="F46" s="6" t="s">
        <v>3</v>
      </c>
      <c r="G46" s="6" t="s">
        <v>4</v>
      </c>
      <c r="H46" s="6" t="s">
        <v>5</v>
      </c>
      <c r="I46" s="6" t="s">
        <v>6</v>
      </c>
      <c r="J46" s="6" t="s">
        <v>7</v>
      </c>
      <c r="K46" s="7"/>
    </row>
    <row r="47" spans="1:11" s="1" customFormat="1" ht="27.6">
      <c r="A47" s="4"/>
      <c r="B47" s="8" t="s">
        <v>61</v>
      </c>
      <c r="C47" s="24" t="s">
        <v>62</v>
      </c>
      <c r="D47" s="9" t="s">
        <v>9</v>
      </c>
      <c r="E47" s="9" t="s">
        <v>10</v>
      </c>
      <c r="F47" s="9" t="s">
        <v>11</v>
      </c>
      <c r="G47" s="9" t="s">
        <v>12</v>
      </c>
      <c r="H47" s="9" t="s">
        <v>13</v>
      </c>
      <c r="I47" s="9" t="s">
        <v>14</v>
      </c>
      <c r="J47" s="9" t="s">
        <v>15</v>
      </c>
      <c r="K47" s="10"/>
    </row>
    <row r="48" spans="1:11" s="1" customFormat="1">
      <c r="A48" s="11" t="s">
        <v>63</v>
      </c>
      <c r="B48" s="12" t="s">
        <v>21</v>
      </c>
      <c r="C48" s="13" t="s">
        <v>64</v>
      </c>
      <c r="D48" s="14" t="s">
        <v>20</v>
      </c>
      <c r="E48" s="14" t="s">
        <v>20</v>
      </c>
      <c r="F48" s="14" t="s">
        <v>20</v>
      </c>
      <c r="G48" s="14">
        <v>50000</v>
      </c>
      <c r="H48" s="14" t="s">
        <v>20</v>
      </c>
      <c r="I48" s="14" t="s">
        <v>20</v>
      </c>
      <c r="J48" s="14" t="s">
        <v>20</v>
      </c>
      <c r="K48" s="14">
        <f>D48+E48+F48+G48+H48+I48+J48</f>
        <v>50000</v>
      </c>
    </row>
    <row r="49" spans="1:11" s="1" customFormat="1">
      <c r="A49" s="15"/>
      <c r="B49" s="12" t="s">
        <v>23</v>
      </c>
      <c r="C49" s="13" t="s">
        <v>65</v>
      </c>
      <c r="D49" s="14" t="s">
        <v>20</v>
      </c>
      <c r="E49" s="14" t="s">
        <v>20</v>
      </c>
      <c r="F49" s="14" t="s">
        <v>20</v>
      </c>
      <c r="G49" s="14">
        <v>100000</v>
      </c>
      <c r="H49" s="14" t="s">
        <v>20</v>
      </c>
      <c r="I49" s="14" t="s">
        <v>20</v>
      </c>
      <c r="J49" s="14" t="s">
        <v>20</v>
      </c>
      <c r="K49" s="14">
        <f>D49+E49+F49+G49+H49+I49+J49</f>
        <v>100000</v>
      </c>
    </row>
    <row r="50" spans="1:11" s="1" customFormat="1" ht="27.6">
      <c r="A50" s="6" t="s">
        <v>63</v>
      </c>
      <c r="B50" s="16"/>
      <c r="C50" s="25" t="s">
        <v>66</v>
      </c>
      <c r="D50" s="17">
        <f>SUM(D48:D49)</f>
        <v>0</v>
      </c>
      <c r="E50" s="17">
        <f t="shared" ref="E50:J50" si="8">SUM(E48:E49)</f>
        <v>0</v>
      </c>
      <c r="F50" s="17">
        <f t="shared" si="8"/>
        <v>0</v>
      </c>
      <c r="G50" s="17">
        <f t="shared" si="8"/>
        <v>150000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>D50+E50+F50+G50+H50+I50+J50</f>
        <v>150000</v>
      </c>
    </row>
    <row r="51" spans="1:11" s="1" customFormat="1">
      <c r="C51" s="26"/>
    </row>
    <row r="52" spans="1:11" s="1" customFormat="1">
      <c r="A52" s="4"/>
      <c r="B52" s="5"/>
      <c r="C52" s="23"/>
      <c r="D52" s="6" t="s">
        <v>1</v>
      </c>
      <c r="E52" s="6" t="s">
        <v>2</v>
      </c>
      <c r="F52" s="6" t="s">
        <v>3</v>
      </c>
      <c r="G52" s="6" t="s">
        <v>4</v>
      </c>
      <c r="H52" s="6" t="s">
        <v>5</v>
      </c>
      <c r="I52" s="6" t="s">
        <v>6</v>
      </c>
      <c r="J52" s="6" t="s">
        <v>7</v>
      </c>
      <c r="K52" s="7"/>
    </row>
    <row r="53" spans="1:11" s="1" customFormat="1" ht="27.6">
      <c r="A53" s="4"/>
      <c r="B53" s="8" t="s">
        <v>67</v>
      </c>
      <c r="C53" s="24" t="s">
        <v>68</v>
      </c>
      <c r="D53" s="9" t="s">
        <v>9</v>
      </c>
      <c r="E53" s="9" t="s">
        <v>10</v>
      </c>
      <c r="F53" s="9" t="s">
        <v>11</v>
      </c>
      <c r="G53" s="9" t="s">
        <v>12</v>
      </c>
      <c r="H53" s="9" t="s">
        <v>13</v>
      </c>
      <c r="I53" s="9" t="s">
        <v>14</v>
      </c>
      <c r="J53" s="9" t="s">
        <v>15</v>
      </c>
      <c r="K53" s="10"/>
    </row>
    <row r="54" spans="1:11" s="1" customFormat="1" ht="41.4">
      <c r="A54" s="11" t="s">
        <v>69</v>
      </c>
      <c r="B54" s="12" t="s">
        <v>21</v>
      </c>
      <c r="C54" s="13" t="s">
        <v>70</v>
      </c>
      <c r="D54" s="14" t="s">
        <v>20</v>
      </c>
      <c r="E54" s="14" t="s">
        <v>20</v>
      </c>
      <c r="F54" s="14" t="s">
        <v>20</v>
      </c>
      <c r="G54" s="14">
        <v>62000</v>
      </c>
      <c r="H54" s="14" t="s">
        <v>20</v>
      </c>
      <c r="I54" s="14" t="s">
        <v>20</v>
      </c>
      <c r="J54" s="14" t="s">
        <v>20</v>
      </c>
      <c r="K54" s="14">
        <f>D54+E54+F54+G54+H54+I54+J54</f>
        <v>62000</v>
      </c>
    </row>
    <row r="55" spans="1:11" s="1" customFormat="1" ht="27.6">
      <c r="A55" s="6" t="s">
        <v>69</v>
      </c>
      <c r="B55" s="16"/>
      <c r="C55" s="25" t="s">
        <v>71</v>
      </c>
      <c r="D55" s="17">
        <f>SUM(D54)</f>
        <v>0</v>
      </c>
      <c r="E55" s="17">
        <f t="shared" ref="E55:J55" si="9">SUM(E54)</f>
        <v>0</v>
      </c>
      <c r="F55" s="17">
        <f t="shared" si="9"/>
        <v>0</v>
      </c>
      <c r="G55" s="17">
        <f t="shared" si="9"/>
        <v>62000</v>
      </c>
      <c r="H55" s="17">
        <f t="shared" si="9"/>
        <v>0</v>
      </c>
      <c r="I55" s="17">
        <f t="shared" si="9"/>
        <v>0</v>
      </c>
      <c r="J55" s="17">
        <f t="shared" si="9"/>
        <v>0</v>
      </c>
      <c r="K55" s="17">
        <f>D55+E55+F55+G55+H55+I55+J55</f>
        <v>62000</v>
      </c>
    </row>
    <row r="56" spans="1:11" s="1" customFormat="1">
      <c r="C56" s="26"/>
    </row>
    <row r="57" spans="1:11" s="1" customFormat="1">
      <c r="A57" s="4"/>
      <c r="B57" s="5"/>
      <c r="C57" s="23"/>
      <c r="D57" s="6" t="s">
        <v>1</v>
      </c>
      <c r="E57" s="6" t="s">
        <v>2</v>
      </c>
      <c r="F57" s="6" t="s">
        <v>3</v>
      </c>
      <c r="G57" s="6" t="s">
        <v>4</v>
      </c>
      <c r="H57" s="6" t="s">
        <v>5</v>
      </c>
      <c r="I57" s="6" t="s">
        <v>6</v>
      </c>
      <c r="J57" s="6" t="s">
        <v>7</v>
      </c>
      <c r="K57" s="7"/>
    </row>
    <row r="58" spans="1:11" s="1" customFormat="1">
      <c r="A58" s="4"/>
      <c r="B58" s="8" t="s">
        <v>72</v>
      </c>
      <c r="C58" s="24" t="s">
        <v>73</v>
      </c>
      <c r="D58" s="9" t="s">
        <v>9</v>
      </c>
      <c r="E58" s="9" t="s">
        <v>10</v>
      </c>
      <c r="F58" s="9" t="s">
        <v>11</v>
      </c>
      <c r="G58" s="9" t="s">
        <v>12</v>
      </c>
      <c r="H58" s="9" t="s">
        <v>13</v>
      </c>
      <c r="I58" s="9" t="s">
        <v>14</v>
      </c>
      <c r="J58" s="9" t="s">
        <v>15</v>
      </c>
      <c r="K58" s="10"/>
    </row>
    <row r="59" spans="1:11" s="1" customFormat="1">
      <c r="A59" s="11" t="s">
        <v>74</v>
      </c>
      <c r="B59" s="12" t="s">
        <v>17</v>
      </c>
      <c r="C59" s="13" t="s">
        <v>75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14">
        <v>142500</v>
      </c>
      <c r="K59" s="14">
        <f>D59+E59+F59+G59+H59+I59+J59</f>
        <v>142500</v>
      </c>
    </row>
    <row r="60" spans="1:11" s="1" customFormat="1">
      <c r="A60" s="15"/>
      <c r="B60" s="12" t="s">
        <v>21</v>
      </c>
      <c r="C60" s="13" t="s">
        <v>76</v>
      </c>
      <c r="D60" s="14" t="s">
        <v>20</v>
      </c>
      <c r="E60" s="14" t="s">
        <v>20</v>
      </c>
      <c r="F60" s="14" t="s">
        <v>20</v>
      </c>
      <c r="G60" s="14" t="s">
        <v>20</v>
      </c>
      <c r="H60" s="14" t="s">
        <v>20</v>
      </c>
      <c r="I60" s="14" t="s">
        <v>20</v>
      </c>
      <c r="J60" s="14">
        <v>0</v>
      </c>
      <c r="K60" s="14">
        <f>D60+E60+F60+G60+H60+I60+J60</f>
        <v>0</v>
      </c>
    </row>
    <row r="61" spans="1:11" s="1" customFormat="1">
      <c r="A61" s="15"/>
      <c r="B61" s="12" t="s">
        <v>23</v>
      </c>
      <c r="C61" s="13" t="s">
        <v>77</v>
      </c>
      <c r="D61" s="14" t="s">
        <v>20</v>
      </c>
      <c r="E61" s="14" t="s">
        <v>20</v>
      </c>
      <c r="F61" s="14" t="s">
        <v>20</v>
      </c>
      <c r="G61" s="14" t="s">
        <v>20</v>
      </c>
      <c r="H61" s="14" t="s">
        <v>20</v>
      </c>
      <c r="I61" s="14" t="s">
        <v>20</v>
      </c>
      <c r="J61" s="14">
        <v>100000</v>
      </c>
      <c r="K61" s="14">
        <f>D61+E61+F61+G61+H61+I61+J61</f>
        <v>100000</v>
      </c>
    </row>
    <row r="62" spans="1:11" s="1" customFormat="1">
      <c r="A62" s="6" t="s">
        <v>74</v>
      </c>
      <c r="B62" s="16"/>
      <c r="C62" s="25" t="s">
        <v>78</v>
      </c>
      <c r="D62" s="17">
        <f>SUM(D59:D61)</f>
        <v>0</v>
      </c>
      <c r="E62" s="17">
        <f t="shared" ref="E62:J62" si="10">SUM(E59:E61)</f>
        <v>0</v>
      </c>
      <c r="F62" s="17">
        <f t="shared" si="10"/>
        <v>0</v>
      </c>
      <c r="G62" s="17">
        <f t="shared" si="10"/>
        <v>0</v>
      </c>
      <c r="H62" s="17">
        <f t="shared" si="10"/>
        <v>0</v>
      </c>
      <c r="I62" s="17">
        <f t="shared" si="10"/>
        <v>0</v>
      </c>
      <c r="J62" s="17">
        <f t="shared" si="10"/>
        <v>242500</v>
      </c>
      <c r="K62" s="17">
        <f>D62+E62+F62+G62+H62+I62+J62</f>
        <v>242500</v>
      </c>
    </row>
    <row r="63" spans="1:11" s="1" customFormat="1">
      <c r="C63" s="26"/>
    </row>
    <row r="64" spans="1:11" s="1" customFormat="1">
      <c r="A64" s="18"/>
      <c r="B64" s="19"/>
      <c r="C64" s="27"/>
      <c r="D64" s="20"/>
      <c r="E64" s="20"/>
      <c r="F64" s="20"/>
      <c r="G64" s="20"/>
      <c r="H64" s="20"/>
      <c r="I64" s="20"/>
      <c r="J64" s="20"/>
      <c r="K64" s="20"/>
    </row>
    <row r="65" spans="1:11" s="1" customFormat="1">
      <c r="A65" s="18"/>
      <c r="B65" s="235" t="s">
        <v>79</v>
      </c>
      <c r="C65" s="235"/>
      <c r="D65" s="21">
        <f>D62+D55+D50+D44+D39+D34+D28+D20+D14+D24</f>
        <v>253030</v>
      </c>
      <c r="E65" s="21">
        <f t="shared" ref="E65:K65" si="11">E62+E55+E50+E44+E39+E34+E28+E20+E14+E24</f>
        <v>1168758.17</v>
      </c>
      <c r="F65" s="21">
        <f t="shared" si="11"/>
        <v>12508156.25</v>
      </c>
      <c r="G65" s="21">
        <f t="shared" si="11"/>
        <v>8409750</v>
      </c>
      <c r="H65" s="21">
        <f t="shared" si="11"/>
        <v>500</v>
      </c>
      <c r="I65" s="21">
        <f t="shared" si="11"/>
        <v>141176.07</v>
      </c>
      <c r="J65" s="21">
        <f t="shared" si="11"/>
        <v>332035.01</v>
      </c>
      <c r="K65" s="21">
        <f t="shared" si="11"/>
        <v>22813405.5</v>
      </c>
    </row>
    <row r="67" spans="1:11">
      <c r="D67" s="29"/>
      <c r="E67" s="29"/>
      <c r="F67" s="29"/>
      <c r="G67" s="29"/>
      <c r="H67" s="29"/>
      <c r="I67" s="29"/>
      <c r="J67" s="29"/>
      <c r="K67" s="29"/>
    </row>
    <row r="68" spans="1:11">
      <c r="D68" s="28">
        <v>262030</v>
      </c>
      <c r="E68" s="28">
        <v>1168758.17</v>
      </c>
      <c r="F68" s="28">
        <v>12513156.25</v>
      </c>
      <c r="G68" s="28">
        <v>8495750</v>
      </c>
      <c r="H68" s="28">
        <v>500</v>
      </c>
      <c r="I68" s="28">
        <v>141176.07</v>
      </c>
      <c r="J68" s="28">
        <v>232035.01</v>
      </c>
      <c r="K68" s="28">
        <v>22813405.5</v>
      </c>
    </row>
    <row r="70" spans="1:11">
      <c r="D70" s="211">
        <f>D65-D68</f>
        <v>-9000</v>
      </c>
      <c r="E70" s="211">
        <f t="shared" ref="E70:K70" si="12">E65-E68</f>
        <v>0</v>
      </c>
      <c r="F70" s="211">
        <f t="shared" si="12"/>
        <v>-5000</v>
      </c>
      <c r="G70" s="211">
        <f t="shared" si="12"/>
        <v>-86000</v>
      </c>
      <c r="H70" s="211">
        <f t="shared" si="12"/>
        <v>0</v>
      </c>
      <c r="I70" s="211">
        <f t="shared" si="12"/>
        <v>0</v>
      </c>
      <c r="J70" s="211">
        <f t="shared" si="12"/>
        <v>100000</v>
      </c>
      <c r="K70" s="211">
        <f t="shared" si="12"/>
        <v>0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8"/>
  <sheetViews>
    <sheetView view="pageBreakPreview" topLeftCell="A40" zoomScale="80" zoomScaleNormal="100" zoomScaleSheetLayoutView="80" workbookViewId="0">
      <selection activeCell="D62" sqref="D62:K62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6" t="s">
        <v>82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2"/>
    </row>
    <row r="2" spans="1:12" s="1" customFormat="1" ht="55.2">
      <c r="B2" s="234" t="s">
        <v>0</v>
      </c>
      <c r="C2" s="234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34"/>
      <c r="C3" s="234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948843</v>
      </c>
      <c r="F6" s="14">
        <v>7818025.3200000003</v>
      </c>
      <c r="G6" s="14">
        <f>7570550-51000</f>
        <v>7519550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16288418.32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f>263000-9000</f>
        <v>254000</v>
      </c>
      <c r="E8" s="14">
        <v>9434.0499999999993</v>
      </c>
      <c r="F8" s="14">
        <v>2308956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2635750.0599999996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26885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243065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372200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372200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1092080.55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1092080.55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90300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237226.07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22200</v>
      </c>
      <c r="H13" s="14">
        <v>500</v>
      </c>
      <c r="I13" s="14" t="s">
        <v>20</v>
      </c>
      <c r="J13" s="14">
        <v>3600</v>
      </c>
      <c r="K13" s="14">
        <f>D13+E13+F13+G13+H13+I13+J13</f>
        <v>35300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254630</v>
      </c>
      <c r="E14" s="17">
        <f t="shared" ref="E14:J14" si="1">SUM(E6:E13)</f>
        <v>1173781.05</v>
      </c>
      <c r="F14" s="17">
        <f t="shared" si="1"/>
        <v>11744332.870000001</v>
      </c>
      <c r="G14" s="17">
        <f t="shared" si="1"/>
        <v>7541750</v>
      </c>
      <c r="H14" s="17">
        <f t="shared" si="1"/>
        <v>500</v>
      </c>
      <c r="I14" s="17">
        <f t="shared" si="1"/>
        <v>141176.07</v>
      </c>
      <c r="J14" s="17">
        <f t="shared" si="1"/>
        <v>74960.010000000009</v>
      </c>
      <c r="K14" s="17">
        <f>D14+E14+F14+G14+H14+I14+J14</f>
        <v>20931130.000000004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681334-5000</f>
        <v>676334</v>
      </c>
      <c r="G19" s="14">
        <f>637000-35000</f>
        <v>602000</v>
      </c>
      <c r="H19" s="14" t="s">
        <v>20</v>
      </c>
      <c r="I19" s="14" t="s">
        <v>20</v>
      </c>
      <c r="J19" s="14">
        <v>0</v>
      </c>
      <c r="K19" s="14">
        <f>D19+E19+F19+G19+H19+I19+J19</f>
        <v>1278334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676334</v>
      </c>
      <c r="G20" s="17">
        <f t="shared" si="2"/>
        <v>602000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1278334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3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3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  <c r="M50" s="1" t="s">
        <v>94</v>
      </c>
    </row>
    <row r="51" spans="1:13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3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3" s="1" customFormat="1">
      <c r="C53" s="26"/>
    </row>
    <row r="54" spans="1:13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3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3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117910</v>
      </c>
      <c r="K56" s="14">
        <f>D56+E56+F56+G56+H56+I56+J56</f>
        <v>117910</v>
      </c>
    </row>
    <row r="57" spans="1:13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100000</v>
      </c>
      <c r="K57" s="14">
        <f>D57+E57+F57+G57+H57+I57+J57</f>
        <v>100000</v>
      </c>
    </row>
    <row r="58" spans="1:13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/>
      <c r="K58" s="14">
        <f>D58+E58+F58+G58+H58+I58+J58</f>
        <v>0</v>
      </c>
    </row>
    <row r="59" spans="1:13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217910</v>
      </c>
      <c r="K59" s="17">
        <f>D59+E59+F59+G59+H59+I59+J59</f>
        <v>217910</v>
      </c>
    </row>
    <row r="60" spans="1:13" s="1" customFormat="1">
      <c r="C60" s="26"/>
    </row>
    <row r="61" spans="1:13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3" s="1" customFormat="1">
      <c r="A62" s="18"/>
      <c r="B62" s="235" t="s">
        <v>79</v>
      </c>
      <c r="C62" s="235"/>
      <c r="D62" s="21">
        <f>D59+D52+D47+D41+D36+D31+D25+D20+D14</f>
        <v>254630</v>
      </c>
      <c r="E62" s="21">
        <f t="shared" ref="E62:J62" si="10">E59+E52+E47+E41+E36+E31+E25+E20+E14</f>
        <v>1173781.05</v>
      </c>
      <c r="F62" s="21">
        <f t="shared" si="10"/>
        <v>12424066.870000001</v>
      </c>
      <c r="G62" s="21">
        <f t="shared" si="10"/>
        <v>8366750</v>
      </c>
      <c r="H62" s="21">
        <f t="shared" si="10"/>
        <v>500</v>
      </c>
      <c r="I62" s="21">
        <f t="shared" si="10"/>
        <v>141176.07</v>
      </c>
      <c r="J62" s="21">
        <f t="shared" si="10"/>
        <v>292870.01</v>
      </c>
      <c r="K62" s="21">
        <f>K59+K52+K47+K41+K36+K31+K25+K20+K14</f>
        <v>22653774.000000004</v>
      </c>
    </row>
    <row r="64" spans="1:13">
      <c r="D64" s="29"/>
      <c r="E64" s="29"/>
      <c r="F64" s="29"/>
      <c r="G64" s="29"/>
      <c r="H64" s="29"/>
      <c r="I64" s="29"/>
      <c r="J64" s="29"/>
      <c r="K64" s="29"/>
    </row>
    <row r="66" spans="4:11">
      <c r="D66" s="21">
        <v>263630</v>
      </c>
      <c r="E66" s="21">
        <v>1173781.05</v>
      </c>
      <c r="F66" s="21">
        <v>12429066.870000001</v>
      </c>
      <c r="G66" s="21">
        <v>8452750</v>
      </c>
      <c r="H66" s="21">
        <v>500</v>
      </c>
      <c r="I66" s="21">
        <v>141176.07</v>
      </c>
      <c r="J66" s="21">
        <v>192870.01</v>
      </c>
      <c r="K66" s="21">
        <v>22653774.000000004</v>
      </c>
    </row>
    <row r="68" spans="4:11">
      <c r="D68" s="211">
        <f>D62-D66</f>
        <v>-9000</v>
      </c>
      <c r="E68" s="211">
        <f t="shared" ref="E68:K68" si="11">E62-E66</f>
        <v>0</v>
      </c>
      <c r="F68" s="211">
        <f t="shared" si="11"/>
        <v>-5000</v>
      </c>
      <c r="G68" s="211">
        <f t="shared" si="11"/>
        <v>-86000</v>
      </c>
      <c r="H68" s="211">
        <f t="shared" si="11"/>
        <v>0</v>
      </c>
      <c r="I68" s="211">
        <f t="shared" si="11"/>
        <v>0</v>
      </c>
      <c r="J68" s="211">
        <f t="shared" si="11"/>
        <v>100000</v>
      </c>
      <c r="K68" s="211">
        <f t="shared" si="11"/>
        <v>0</v>
      </c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I25"/>
  <sheetViews>
    <sheetView zoomScale="80" zoomScaleNormal="80" workbookViewId="0">
      <selection activeCell="D22" sqref="D22:F22"/>
    </sheetView>
  </sheetViews>
  <sheetFormatPr defaultColWidth="9.109375" defaultRowHeight="13.2"/>
  <cols>
    <col min="1" max="1" width="5.6640625" style="37" customWidth="1"/>
    <col min="2" max="2" width="6.109375" style="37" customWidth="1"/>
    <col min="3" max="3" width="67.44140625" style="61" customWidth="1"/>
    <col min="4" max="4" width="26.88671875" style="37" customWidth="1"/>
    <col min="5" max="5" width="22.109375" style="37" customWidth="1"/>
    <col min="6" max="6" width="16.44140625" style="37" customWidth="1"/>
    <col min="7" max="7" width="22.6640625" style="37" customWidth="1"/>
    <col min="8" max="8" width="7.88671875" style="37" customWidth="1"/>
    <col min="9" max="9" width="69.5546875" style="37" customWidth="1"/>
    <col min="10" max="16384" width="9.109375" style="37"/>
  </cols>
  <sheetData>
    <row r="1" spans="2:9" s="31" customFormat="1" ht="65.25" customHeight="1">
      <c r="B1" s="243" t="s">
        <v>83</v>
      </c>
      <c r="C1" s="243"/>
      <c r="D1" s="243"/>
      <c r="E1" s="243"/>
      <c r="F1" s="243"/>
      <c r="G1" s="243"/>
      <c r="H1" s="30"/>
      <c r="I1" s="30"/>
    </row>
    <row r="2" spans="2:9" s="31" customFormat="1" ht="5.25" customHeight="1">
      <c r="C2" s="55"/>
    </row>
    <row r="3" spans="2:9" s="38" customFormat="1" ht="27.6">
      <c r="B3" s="237" t="s">
        <v>0</v>
      </c>
      <c r="C3" s="238"/>
      <c r="D3" s="39" t="s">
        <v>85</v>
      </c>
      <c r="E3" s="39" t="s">
        <v>86</v>
      </c>
      <c r="F3" s="39" t="s">
        <v>87</v>
      </c>
      <c r="G3" s="39" t="s">
        <v>88</v>
      </c>
    </row>
    <row r="4" spans="2:9" s="38" customFormat="1" ht="13.8">
      <c r="B4" s="239"/>
      <c r="C4" s="240"/>
      <c r="D4" s="40" t="s">
        <v>89</v>
      </c>
      <c r="E4" s="40" t="s">
        <v>90</v>
      </c>
      <c r="F4" s="40" t="s">
        <v>91</v>
      </c>
      <c r="G4" s="40" t="s">
        <v>84</v>
      </c>
    </row>
    <row r="5" spans="2:9" s="38" customFormat="1" ht="13.8">
      <c r="B5" s="41"/>
      <c r="C5" s="57"/>
      <c r="D5" s="42" t="s">
        <v>84</v>
      </c>
      <c r="E5" s="43"/>
      <c r="F5" s="43"/>
      <c r="G5" s="44"/>
    </row>
    <row r="6" spans="2:9" s="38" customFormat="1" ht="13.8">
      <c r="B6" s="45" t="s">
        <v>17</v>
      </c>
      <c r="C6" s="58" t="s">
        <v>18</v>
      </c>
      <c r="D6" s="46" t="s">
        <v>89</v>
      </c>
      <c r="E6" s="46" t="s">
        <v>90</v>
      </c>
      <c r="F6" s="46" t="s">
        <v>91</v>
      </c>
      <c r="G6" s="47"/>
    </row>
    <row r="7" spans="2:9" s="38" customFormat="1" ht="13.8">
      <c r="B7" s="48" t="s">
        <v>23</v>
      </c>
      <c r="C7" s="49" t="s">
        <v>24</v>
      </c>
      <c r="D7" s="50">
        <f>37300+4000+22691.22</f>
        <v>63991.22</v>
      </c>
      <c r="E7" s="50" t="s">
        <v>20</v>
      </c>
      <c r="F7" s="50" t="s">
        <v>20</v>
      </c>
      <c r="G7" s="51">
        <f>D7+E7+F7</f>
        <v>63991.22</v>
      </c>
    </row>
    <row r="8" spans="2:9" s="38" customFormat="1" ht="13.8">
      <c r="B8" s="48" t="s">
        <v>27</v>
      </c>
      <c r="C8" s="49" t="s">
        <v>28</v>
      </c>
      <c r="D8" s="50">
        <f>337400+30535.68-5000</f>
        <v>362935.68</v>
      </c>
      <c r="E8" s="50" t="s">
        <v>20</v>
      </c>
      <c r="F8" s="50">
        <v>0</v>
      </c>
      <c r="G8" s="51">
        <f>D8+E8+F8</f>
        <v>362935.68</v>
      </c>
    </row>
    <row r="9" spans="2:9" s="38" customFormat="1" ht="13.8">
      <c r="B9" s="48" t="s">
        <v>29</v>
      </c>
      <c r="C9" s="49" t="s">
        <v>30</v>
      </c>
      <c r="D9" s="50">
        <f>317556+10389.06+2464.4+20000+175852.33</f>
        <v>526261.79</v>
      </c>
      <c r="E9" s="50" t="s">
        <v>20</v>
      </c>
      <c r="F9" s="50" t="s">
        <v>20</v>
      </c>
      <c r="G9" s="51">
        <f>D9+E9+F9</f>
        <v>526261.79</v>
      </c>
    </row>
    <row r="10" spans="2:9" s="38" customFormat="1" ht="13.8">
      <c r="B10" s="48" t="s">
        <v>33</v>
      </c>
      <c r="C10" s="49" t="s">
        <v>34</v>
      </c>
      <c r="D10" s="50">
        <f>5000+17235</f>
        <v>22235</v>
      </c>
      <c r="E10" s="50" t="s">
        <v>20</v>
      </c>
      <c r="F10" s="50" t="s">
        <v>20</v>
      </c>
      <c r="G10" s="51">
        <f>D10+E10+F10</f>
        <v>22235</v>
      </c>
    </row>
    <row r="11" spans="2:9" s="38" customFormat="1" ht="13.8">
      <c r="B11" s="52"/>
      <c r="C11" s="59" t="s">
        <v>35</v>
      </c>
      <c r="D11" s="53">
        <f>SUM(D7:D10)</f>
        <v>975423.69000000006</v>
      </c>
      <c r="E11" s="53">
        <f>SUM(E7:E10)</f>
        <v>0</v>
      </c>
      <c r="F11" s="53">
        <f>SUM(F7:F10)</f>
        <v>0</v>
      </c>
      <c r="G11" s="53">
        <f>SUM(G7:G10)</f>
        <v>975423.69000000006</v>
      </c>
    </row>
    <row r="12" spans="2:9" s="38" customFormat="1" ht="13.8">
      <c r="C12" s="60"/>
    </row>
    <row r="13" spans="2:9" s="38" customFormat="1" ht="27.6">
      <c r="B13" s="45" t="s">
        <v>25</v>
      </c>
      <c r="C13" s="58" t="s">
        <v>36</v>
      </c>
      <c r="D13" s="46" t="s">
        <v>89</v>
      </c>
      <c r="E13" s="46" t="s">
        <v>90</v>
      </c>
      <c r="F13" s="46" t="s">
        <v>91</v>
      </c>
      <c r="G13" s="47"/>
    </row>
    <row r="14" spans="2:9" s="38" customFormat="1" ht="13.8">
      <c r="B14" s="48" t="s">
        <v>17</v>
      </c>
      <c r="C14" s="49" t="s">
        <v>38</v>
      </c>
      <c r="D14" s="50">
        <v>10000</v>
      </c>
      <c r="E14" s="50">
        <f>90000-45000</f>
        <v>45000</v>
      </c>
      <c r="F14" s="50" t="s">
        <v>20</v>
      </c>
      <c r="G14" s="51">
        <f>D14+E14+F14</f>
        <v>55000</v>
      </c>
    </row>
    <row r="15" spans="2:9" s="38" customFormat="1" ht="13.8">
      <c r="B15" s="48" t="s">
        <v>21</v>
      </c>
      <c r="C15" s="49" t="s">
        <v>39</v>
      </c>
      <c r="D15" s="50">
        <v>39500</v>
      </c>
      <c r="E15" s="50" t="s">
        <v>20</v>
      </c>
      <c r="F15" s="50" t="s">
        <v>20</v>
      </c>
      <c r="G15" s="51">
        <f>D15+E15+F15</f>
        <v>39500</v>
      </c>
    </row>
    <row r="16" spans="2:9" s="38" customFormat="1" ht="27.6">
      <c r="B16" s="52"/>
      <c r="C16" s="59" t="s">
        <v>40</v>
      </c>
      <c r="D16" s="53">
        <f>SUM(D14:D15)</f>
        <v>49500</v>
      </c>
      <c r="E16" s="53">
        <f>SUM(E14:E15)</f>
        <v>45000</v>
      </c>
      <c r="F16" s="53">
        <f>SUM(F14:F15)</f>
        <v>0</v>
      </c>
      <c r="G16" s="53">
        <f>SUM(G14:G15)</f>
        <v>94500</v>
      </c>
    </row>
    <row r="17" spans="2:8" s="38" customFormat="1" ht="13.8">
      <c r="C17" s="60"/>
    </row>
    <row r="18" spans="2:8" s="38" customFormat="1" ht="13.8">
      <c r="B18" s="45" t="s">
        <v>72</v>
      </c>
      <c r="C18" s="58" t="s">
        <v>73</v>
      </c>
      <c r="D18" s="46" t="s">
        <v>89</v>
      </c>
      <c r="E18" s="46" t="s">
        <v>90</v>
      </c>
      <c r="F18" s="46" t="s">
        <v>91</v>
      </c>
      <c r="G18" s="47"/>
    </row>
    <row r="19" spans="2:8" s="38" customFormat="1" ht="13.8">
      <c r="B19" s="48" t="s">
        <v>23</v>
      </c>
      <c r="C19" s="49" t="s">
        <v>77</v>
      </c>
      <c r="D19" s="50" t="s">
        <v>20</v>
      </c>
      <c r="E19" s="50" t="s">
        <v>20</v>
      </c>
      <c r="F19" s="50">
        <f>52500-24000+50000</f>
        <v>78500</v>
      </c>
      <c r="G19" s="51">
        <f>D19+E19+F19</f>
        <v>78500</v>
      </c>
    </row>
    <row r="20" spans="2:8" s="38" customFormat="1" ht="13.8">
      <c r="B20" s="52"/>
      <c r="C20" s="59" t="s">
        <v>78</v>
      </c>
      <c r="D20" s="53">
        <f>SUM(D19)</f>
        <v>0</v>
      </c>
      <c r="E20" s="53">
        <f>SUM(E19)</f>
        <v>0</v>
      </c>
      <c r="F20" s="53">
        <f>SUM(F19)</f>
        <v>78500</v>
      </c>
      <c r="G20" s="53">
        <f>SUM(G19)</f>
        <v>78500</v>
      </c>
    </row>
    <row r="21" spans="2:8" s="38" customFormat="1" ht="13.8">
      <c r="C21" s="60"/>
    </row>
    <row r="22" spans="2:8" s="38" customFormat="1" ht="13.8">
      <c r="B22" s="241" t="s">
        <v>79</v>
      </c>
      <c r="C22" s="242"/>
      <c r="D22" s="54">
        <f>D20+D16+D11</f>
        <v>1024923.6900000001</v>
      </c>
      <c r="E22" s="54">
        <f>E20+E16+E11</f>
        <v>45000</v>
      </c>
      <c r="F22" s="54">
        <f>F20+F16+F11</f>
        <v>78500</v>
      </c>
      <c r="G22" s="54">
        <f>G20+G16+G11</f>
        <v>1148423.69</v>
      </c>
    </row>
    <row r="24" spans="2:8">
      <c r="D24" s="61"/>
      <c r="E24" s="61"/>
      <c r="F24" s="61"/>
      <c r="G24" s="61"/>
      <c r="H24" s="61"/>
    </row>
    <row r="25" spans="2:8">
      <c r="D25" s="61"/>
      <c r="E25" s="61"/>
      <c r="F25" s="61"/>
      <c r="G25" s="61"/>
      <c r="H25" s="61"/>
    </row>
  </sheetData>
  <mergeCells count="3">
    <mergeCell ref="B3:C4"/>
    <mergeCell ref="B22:C22"/>
    <mergeCell ref="B1:G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topLeftCell="A10" zoomScaleNormal="100" zoomScaleSheetLayoutView="70" workbookViewId="0">
      <selection activeCell="E14" sqref="E14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43" t="s">
        <v>92</v>
      </c>
      <c r="B1" s="243"/>
      <c r="C1" s="243"/>
      <c r="D1" s="243"/>
      <c r="E1" s="243"/>
      <c r="F1" s="243"/>
      <c r="G1" s="243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44" t="s">
        <v>0</v>
      </c>
      <c r="C3" s="245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6"/>
      <c r="C4" s="247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11500</v>
      </c>
      <c r="E7" s="76" t="s">
        <v>20</v>
      </c>
      <c r="F7" s="76" t="s">
        <v>20</v>
      </c>
      <c r="G7" s="77">
        <f>D7+E7+F7</f>
        <v>11500</v>
      </c>
    </row>
    <row r="8" spans="1:9" s="62" customFormat="1">
      <c r="A8" s="78"/>
      <c r="B8" s="74" t="s">
        <v>27</v>
      </c>
      <c r="C8" s="75" t="s">
        <v>28</v>
      </c>
      <c r="D8" s="76">
        <v>236000</v>
      </c>
      <c r="E8" s="76" t="s">
        <v>20</v>
      </c>
      <c r="F8" s="76">
        <v>0</v>
      </c>
      <c r="G8" s="77">
        <f>D8+E8+F8</f>
        <v>236000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457156</v>
      </c>
      <c r="E11" s="80">
        <f>SUM(E7:E10)</f>
        <v>0</v>
      </c>
      <c r="F11" s="80">
        <f>SUM(F7:F10)</f>
        <v>0</v>
      </c>
      <c r="G11" s="80">
        <f>SUM(G7:G10)</f>
        <v>457156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v>10000</v>
      </c>
      <c r="E16" s="80">
        <v>90000</v>
      </c>
      <c r="F16" s="80" t="s">
        <v>20</v>
      </c>
      <c r="G16" s="80">
        <f>SUM(G12:G15)</f>
        <v>100000</v>
      </c>
      <c r="I16" s="62" t="s">
        <v>94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1">
        <f>SUM(D19)</f>
        <v>0</v>
      </c>
      <c r="E20" s="81">
        <f>SUM(E19)</f>
        <v>0</v>
      </c>
      <c r="F20" s="81">
        <f>SUM(F19)</f>
        <v>52500</v>
      </c>
      <c r="G20" s="81">
        <f>SUM(G19)</f>
        <v>52500</v>
      </c>
    </row>
    <row r="21" spans="1:7" s="62" customFormat="1">
      <c r="C21" s="86"/>
    </row>
    <row r="22" spans="1:7" s="62" customFormat="1">
      <c r="A22" s="69"/>
      <c r="B22" s="248" t="s">
        <v>79</v>
      </c>
      <c r="C22" s="249"/>
      <c r="D22" s="82">
        <f>D20+D16+D11</f>
        <v>467156</v>
      </c>
      <c r="E22" s="82">
        <f>E20+E16+E11</f>
        <v>90000</v>
      </c>
      <c r="F22" s="82">
        <f>F20+F16+F11</f>
        <v>52500</v>
      </c>
      <c r="G22" s="82">
        <f>G20+G16+G11</f>
        <v>609656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zoomScale="90" zoomScaleNormal="90" workbookViewId="0">
      <selection activeCell="D22" sqref="D22:G22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43" t="s">
        <v>93</v>
      </c>
      <c r="B1" s="243"/>
      <c r="C1" s="243"/>
      <c r="D1" s="243"/>
      <c r="E1" s="243"/>
      <c r="F1" s="243"/>
      <c r="G1" s="243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44" t="s">
        <v>0</v>
      </c>
      <c r="C3" s="245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6"/>
      <c r="C4" s="247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11000</v>
      </c>
      <c r="E7" s="76" t="s">
        <v>20</v>
      </c>
      <c r="F7" s="76" t="s">
        <v>20</v>
      </c>
      <c r="G7" s="77">
        <f>D7+E7+F7</f>
        <v>11000</v>
      </c>
    </row>
    <row r="8" spans="1:9" s="62" customFormat="1">
      <c r="A8" s="78"/>
      <c r="B8" s="74" t="s">
        <v>27</v>
      </c>
      <c r="C8" s="75" t="s">
        <v>28</v>
      </c>
      <c r="D8" s="76">
        <v>181000</v>
      </c>
      <c r="E8" s="76" t="s">
        <v>20</v>
      </c>
      <c r="F8" s="76">
        <v>0</v>
      </c>
      <c r="G8" s="77">
        <f>D8+E8+F8</f>
        <v>181000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401656</v>
      </c>
      <c r="E11" s="80">
        <f>SUM(E7:E10)</f>
        <v>0</v>
      </c>
      <c r="F11" s="80">
        <f>SUM(F7:F10)</f>
        <v>0</v>
      </c>
      <c r="G11" s="80">
        <f>SUM(G7:G10)</f>
        <v>401656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f>SUM(D14:D15)</f>
        <v>10000</v>
      </c>
      <c r="E16" s="80">
        <f>SUM(E14:E15)</f>
        <v>90000</v>
      </c>
      <c r="F16" s="80">
        <f>SUM(F14:F15)</f>
        <v>0</v>
      </c>
      <c r="G16" s="80">
        <f>SUM(G14:G15)</f>
        <v>100000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0">
        <f>SUM(D18:D19)</f>
        <v>0</v>
      </c>
      <c r="E20" s="80">
        <f>SUM(E18:E19)</f>
        <v>0</v>
      </c>
      <c r="F20" s="80">
        <f>SUM(F18:F19)</f>
        <v>52500</v>
      </c>
      <c r="G20" s="80">
        <f>SUM(G18:G19)</f>
        <v>52500</v>
      </c>
    </row>
    <row r="21" spans="1:7" s="62" customFormat="1">
      <c r="C21" s="86"/>
    </row>
    <row r="22" spans="1:7" s="62" customFormat="1">
      <c r="A22" s="69"/>
      <c r="B22" s="248" t="s">
        <v>79</v>
      </c>
      <c r="C22" s="249"/>
      <c r="D22" s="82">
        <f>D20+D16+D11</f>
        <v>411656</v>
      </c>
      <c r="E22" s="82">
        <f>E20+E16+E11</f>
        <v>90000</v>
      </c>
      <c r="F22" s="82">
        <f>F20+F16+F11</f>
        <v>52500</v>
      </c>
      <c r="G22" s="82">
        <f>G20+G16+G11</f>
        <v>554156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:C26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52" t="s">
        <v>217</v>
      </c>
      <c r="C1" s="253"/>
      <c r="D1" s="253"/>
      <c r="E1" s="253"/>
      <c r="F1" s="253"/>
      <c r="G1" s="175"/>
    </row>
    <row r="2" spans="1:7" s="129" customFormat="1" ht="15" customHeight="1"/>
    <row r="3" spans="1:7" s="156" customFormat="1" ht="29.25" customHeight="1">
      <c r="B3" s="250" t="s">
        <v>0</v>
      </c>
      <c r="C3" s="250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50"/>
      <c r="C4" s="250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" customHeight="1">
      <c r="B7" s="165" t="s">
        <v>17</v>
      </c>
      <c r="C7" s="164" t="s">
        <v>212</v>
      </c>
      <c r="D7" s="163">
        <v>4792300</v>
      </c>
      <c r="E7" s="163">
        <v>7000</v>
      </c>
      <c r="F7" s="163">
        <v>4799300</v>
      </c>
    </row>
    <row r="8" spans="1:7" s="156" customFormat="1" ht="24" customHeight="1">
      <c r="B8" s="162"/>
      <c r="C8" s="161" t="s">
        <v>211</v>
      </c>
      <c r="D8" s="160">
        <f>SUM(D7)</f>
        <v>4792300</v>
      </c>
      <c r="E8" s="160">
        <f>SUM(E7)</f>
        <v>7000</v>
      </c>
      <c r="F8" s="160">
        <f>SUM(F7)</f>
        <v>4799300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51" t="s">
        <v>79</v>
      </c>
      <c r="C11" s="251"/>
      <c r="D11" s="157">
        <f>D8</f>
        <v>4792300</v>
      </c>
      <c r="E11" s="157">
        <f>E8</f>
        <v>7000</v>
      </c>
      <c r="F11" s="157">
        <f>F8</f>
        <v>4799300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2020</vt:lpstr>
      <vt:lpstr>Macro CORRENTI 2021</vt:lpstr>
      <vt:lpstr>Macro CORRENTI 2022</vt:lpstr>
      <vt:lpstr>Macro CAPITALE 2020</vt:lpstr>
      <vt:lpstr>Macro CAPITALE 2021</vt:lpstr>
      <vt:lpstr>Macro CAPITALE 2022</vt:lpstr>
      <vt:lpstr>Macro Partite di giro 2020</vt:lpstr>
      <vt:lpstr>Macro Partite di giro 2021</vt:lpstr>
      <vt:lpstr>Macro Partite di giro  2022</vt:lpstr>
      <vt:lpstr>'Entrate per categoria'!Area_stampa</vt:lpstr>
      <vt:lpstr>'Macro CAPITALE 2020'!Area_stampa</vt:lpstr>
      <vt:lpstr>'Macro CAPITALE 2021'!Area_stampa</vt:lpstr>
      <vt:lpstr>'Macro CAPITALE 2022'!Area_stampa</vt:lpstr>
      <vt:lpstr>'Macro CORRENTI 2020'!Area_stampa</vt:lpstr>
      <vt:lpstr>'Macro CORRENTI 2021'!Area_stampa</vt:lpstr>
      <vt:lpstr>'Macro CORRENTI 2022'!Area_stampa</vt:lpstr>
      <vt:lpstr>'Macro Partite di giro  2022'!Area_stampa</vt:lpstr>
      <vt:lpstr>'Macro Partite di giro 2020'!Area_stampa</vt:lpstr>
      <vt:lpstr>'Macro Partite di giro 2021'!Area_stampa</vt:lpstr>
      <vt:lpstr>'Riepilogo SPESE '!Area_stampa</vt:lpstr>
      <vt:lpstr>'Entrate per categoria'!Titoli_stampa</vt:lpstr>
      <vt:lpstr>'Macro CORRENTI 2020'!Titoli_stampa</vt:lpstr>
      <vt:lpstr>'Macro CORRENTI 2021'!Titoli_stampa</vt:lpstr>
      <vt:lpstr>'Macro CORRENTI 2022'!Titoli_stampa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2020-07-22T17:21:47Z</cp:lastPrinted>
  <dcterms:created xsi:type="dcterms:W3CDTF">2020-09-14T08:14:20Z</dcterms:created>
  <dcterms:modified xsi:type="dcterms:W3CDTF">2020-09-14T08:14:37Z</dcterms:modified>
</cp:coreProperties>
</file>