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3256" windowHeight="12228" tabRatio="877" activeTab="1"/>
  </bookViews>
  <sheets>
    <sheet name="Entrate per categoria" sheetId="7" r:id="rId1"/>
    <sheet name="Riepilogo SPESE " sheetId="8" r:id="rId2"/>
    <sheet name="Macro CORRENTI 2020" sheetId="1" r:id="rId3"/>
    <sheet name="Macro CORRENTI 2021" sheetId="2" r:id="rId4"/>
    <sheet name="Macro CORRENTI 2022" sheetId="3" r:id="rId5"/>
    <sheet name="Macro CAPITALE 2020" sheetId="4" r:id="rId6"/>
    <sheet name="Macro CAPITALE 2021" sheetId="5" r:id="rId7"/>
    <sheet name="Macro CAPITALE 2022" sheetId="6" r:id="rId8"/>
    <sheet name="Macro Partite di giro 2020" sheetId="10" r:id="rId9"/>
    <sheet name="Macro Partite di giro 2021" sheetId="11" r:id="rId10"/>
    <sheet name="Macro Partite di giro  2022" sheetId="12" r:id="rId11"/>
  </sheets>
  <definedNames>
    <definedName name="_xlnm.Print_Area" localSheetId="0">'Entrate per categoria'!$A$1:$H$69</definedName>
    <definedName name="_xlnm.Print_Area" localSheetId="5">'Macro CAPITALE 2020'!$B$1:$L$23</definedName>
    <definedName name="_xlnm.Print_Area" localSheetId="6">'Macro CAPITALE 2021'!$A$1:$H$23</definedName>
    <definedName name="_xlnm.Print_Area" localSheetId="7">'Macro CAPITALE 2022'!$A$1:$H$23</definedName>
    <definedName name="_xlnm.Print_Area" localSheetId="2">'Macro CORRENTI 2020'!$A$1:$K$63</definedName>
    <definedName name="_xlnm.Print_Area" localSheetId="3">'Macro CORRENTI 2021'!$A$1:$K$68</definedName>
    <definedName name="_xlnm.Print_Area" localSheetId="4">'Macro CORRENTI 2022'!$A$1:$K$65</definedName>
    <definedName name="_xlnm.Print_Area" localSheetId="10">'Macro Partite di giro  2022'!$A$1:$F$11</definedName>
    <definedName name="_xlnm.Print_Area" localSheetId="8">'Macro Partite di giro 2020'!$A$1:$F$11</definedName>
    <definedName name="_xlnm.Print_Area" localSheetId="9">'Macro Partite di giro 2021'!$A$1:$F$11</definedName>
    <definedName name="_xlnm.Print_Area" localSheetId="1">'Riepilogo SPESE '!$A$1:$G$42</definedName>
    <definedName name="_xlnm.Print_Titles" localSheetId="0">'Entrate per categoria'!$3:$5</definedName>
    <definedName name="_xlnm.Print_Titles" localSheetId="2">'Macro CORRENTI 2020'!$1:$3</definedName>
    <definedName name="_xlnm.Print_Titles" localSheetId="3">'Macro CORRENTI 2021'!$1:$3</definedName>
    <definedName name="_xlnm.Print_Titles" localSheetId="4">'Macro CORRENTI 2022'!$1:$3</definedName>
  </definedNames>
  <calcPr calcId="145621" fullCalcOnLoad="1"/>
</workbook>
</file>

<file path=xl/calcChain.xml><?xml version="1.0" encoding="utf-8"?>
<calcChain xmlns="http://schemas.openxmlformats.org/spreadsheetml/2006/main">
  <c r="J61" i="3"/>
  <c r="G19" i="2"/>
  <c r="G6"/>
  <c r="G40" i="1"/>
  <c r="J57"/>
  <c r="J59"/>
  <c r="G45"/>
  <c r="G44"/>
  <c r="G18"/>
  <c r="F18"/>
  <c r="F13"/>
  <c r="E13"/>
  <c r="F12"/>
  <c r="E12"/>
  <c r="D12"/>
  <c r="F11"/>
  <c r="F10"/>
  <c r="E9"/>
  <c r="G6"/>
  <c r="J8"/>
  <c r="F8"/>
  <c r="E8"/>
  <c r="D8"/>
  <c r="F7"/>
  <c r="G14"/>
  <c r="F6"/>
  <c r="E6"/>
  <c r="F31"/>
  <c r="D9" i="4"/>
  <c r="F35" i="7"/>
  <c r="J64" i="2"/>
  <c r="J60" i="3"/>
  <c r="D17" i="5"/>
  <c r="F20"/>
  <c r="D12"/>
  <c r="E21" i="8"/>
  <c r="D9" i="5"/>
  <c r="E23" i="8"/>
  <c r="D23"/>
  <c r="D24"/>
  <c r="L23" i="4"/>
  <c r="L21"/>
  <c r="L20"/>
  <c r="L17"/>
  <c r="L16"/>
  <c r="L15"/>
  <c r="L8"/>
  <c r="L9"/>
  <c r="L10"/>
  <c r="L11"/>
  <c r="L12"/>
  <c r="L7"/>
  <c r="F20"/>
  <c r="I23"/>
  <c r="J23"/>
  <c r="K23"/>
  <c r="H17"/>
  <c r="I17"/>
  <c r="J17"/>
  <c r="K17"/>
  <c r="I12"/>
  <c r="J12"/>
  <c r="K12"/>
  <c r="H12"/>
  <c r="H23"/>
  <c r="K21"/>
  <c r="J21"/>
  <c r="I21"/>
  <c r="F31" i="8"/>
  <c r="E31"/>
  <c r="D31"/>
  <c r="H21" i="4"/>
  <c r="D35" i="8"/>
  <c r="F58" i="7"/>
  <c r="J60" i="1"/>
  <c r="K40"/>
  <c r="K41"/>
  <c r="G39"/>
  <c r="D12" i="6"/>
  <c r="J51" i="3"/>
  <c r="I51"/>
  <c r="H51"/>
  <c r="G51"/>
  <c r="K51"/>
  <c r="F51"/>
  <c r="E51"/>
  <c r="D51"/>
  <c r="K50"/>
  <c r="J54" i="2"/>
  <c r="I54"/>
  <c r="H54"/>
  <c r="G54"/>
  <c r="F54"/>
  <c r="E54"/>
  <c r="D54"/>
  <c r="K53"/>
  <c r="J50" i="1"/>
  <c r="I50"/>
  <c r="H50"/>
  <c r="G50"/>
  <c r="F50"/>
  <c r="E50"/>
  <c r="D50"/>
  <c r="K49"/>
  <c r="G19"/>
  <c r="F19" i="3"/>
  <c r="G19"/>
  <c r="G20"/>
  <c r="D8"/>
  <c r="D14"/>
  <c r="G6"/>
  <c r="K6"/>
  <c r="F19" i="2"/>
  <c r="F20"/>
  <c r="K19"/>
  <c r="D8"/>
  <c r="K59" i="1"/>
  <c r="E23"/>
  <c r="F23"/>
  <c r="G23"/>
  <c r="H23"/>
  <c r="I23"/>
  <c r="J23"/>
  <c r="D23"/>
  <c r="K22"/>
  <c r="K23"/>
  <c r="K23" i="2"/>
  <c r="K24"/>
  <c r="E24"/>
  <c r="F24"/>
  <c r="G24"/>
  <c r="H24"/>
  <c r="I24"/>
  <c r="J24"/>
  <c r="D24"/>
  <c r="K39" i="1"/>
  <c r="G35"/>
  <c r="K35"/>
  <c r="F19"/>
  <c r="I12"/>
  <c r="I14"/>
  <c r="G13"/>
  <c r="K11"/>
  <c r="F9"/>
  <c r="F14"/>
  <c r="F63"/>
  <c r="K9"/>
  <c r="D14"/>
  <c r="D63"/>
  <c r="F21" i="4"/>
  <c r="E15"/>
  <c r="E17"/>
  <c r="G9"/>
  <c r="D11"/>
  <c r="D10"/>
  <c r="G10"/>
  <c r="D7"/>
  <c r="G7"/>
  <c r="G12"/>
  <c r="K10" i="1"/>
  <c r="F8" i="7"/>
  <c r="K57" i="1"/>
  <c r="H36" i="7"/>
  <c r="H34"/>
  <c r="H38"/>
  <c r="G36"/>
  <c r="H35"/>
  <c r="G35"/>
  <c r="G34"/>
  <c r="G38"/>
  <c r="F36"/>
  <c r="F34"/>
  <c r="F38"/>
  <c r="K44" i="1"/>
  <c r="E41"/>
  <c r="F41"/>
  <c r="H41"/>
  <c r="I41"/>
  <c r="J41"/>
  <c r="D41"/>
  <c r="G6" i="7"/>
  <c r="F7"/>
  <c r="F6"/>
  <c r="E18" i="8"/>
  <c r="E39"/>
  <c r="E41"/>
  <c r="K13" i="1"/>
  <c r="K12"/>
  <c r="D8" i="12"/>
  <c r="D11"/>
  <c r="E8"/>
  <c r="E11"/>
  <c r="F8"/>
  <c r="F11"/>
  <c r="D8" i="11"/>
  <c r="D11"/>
  <c r="E8"/>
  <c r="E11"/>
  <c r="F8"/>
  <c r="F11"/>
  <c r="D8" i="10"/>
  <c r="D11"/>
  <c r="E8"/>
  <c r="E11"/>
  <c r="F8"/>
  <c r="F11"/>
  <c r="F37" i="8"/>
  <c r="E37"/>
  <c r="D37"/>
  <c r="F24"/>
  <c r="E24"/>
  <c r="F18"/>
  <c r="F39"/>
  <c r="F41"/>
  <c r="D18"/>
  <c r="D39"/>
  <c r="D41"/>
  <c r="H62" i="7"/>
  <c r="H65"/>
  <c r="G62"/>
  <c r="F62"/>
  <c r="H56"/>
  <c r="G56"/>
  <c r="F56"/>
  <c r="F65"/>
  <c r="H48"/>
  <c r="G48"/>
  <c r="G52"/>
  <c r="F48"/>
  <c r="H45"/>
  <c r="G45"/>
  <c r="F45"/>
  <c r="H42"/>
  <c r="H52"/>
  <c r="G42"/>
  <c r="F42"/>
  <c r="F52"/>
  <c r="H31"/>
  <c r="G31"/>
  <c r="F31"/>
  <c r="H28"/>
  <c r="G28"/>
  <c r="F28"/>
  <c r="H24"/>
  <c r="G24"/>
  <c r="F24"/>
  <c r="H17"/>
  <c r="G17"/>
  <c r="G20"/>
  <c r="F17"/>
  <c r="F20"/>
  <c r="H12"/>
  <c r="H20"/>
  <c r="G12"/>
  <c r="F12"/>
  <c r="D21" i="6"/>
  <c r="D23"/>
  <c r="E21"/>
  <c r="F21"/>
  <c r="F23"/>
  <c r="G20"/>
  <c r="G21"/>
  <c r="G16"/>
  <c r="G15"/>
  <c r="G17"/>
  <c r="G23"/>
  <c r="E17"/>
  <c r="F17"/>
  <c r="D17"/>
  <c r="E12"/>
  <c r="F12"/>
  <c r="G9"/>
  <c r="G10"/>
  <c r="G11"/>
  <c r="G7"/>
  <c r="G12"/>
  <c r="G20" i="5"/>
  <c r="G21"/>
  <c r="D21"/>
  <c r="E21"/>
  <c r="E23"/>
  <c r="F21"/>
  <c r="G15"/>
  <c r="G16"/>
  <c r="G17"/>
  <c r="G9"/>
  <c r="G12"/>
  <c r="G10"/>
  <c r="G11"/>
  <c r="G7"/>
  <c r="E12"/>
  <c r="F12"/>
  <c r="E21" i="4"/>
  <c r="E23"/>
  <c r="D21"/>
  <c r="F17"/>
  <c r="D17"/>
  <c r="G15"/>
  <c r="G17"/>
  <c r="G16"/>
  <c r="G11"/>
  <c r="E12"/>
  <c r="F12"/>
  <c r="E62" i="3"/>
  <c r="E65"/>
  <c r="F62"/>
  <c r="G62"/>
  <c r="H62"/>
  <c r="H65"/>
  <c r="I62"/>
  <c r="I65"/>
  <c r="J62"/>
  <c r="J65"/>
  <c r="D62"/>
  <c r="D65"/>
  <c r="E55"/>
  <c r="F55"/>
  <c r="F65"/>
  <c r="G55"/>
  <c r="H55"/>
  <c r="I55"/>
  <c r="J55"/>
  <c r="D55"/>
  <c r="E47"/>
  <c r="F47"/>
  <c r="G47"/>
  <c r="K47"/>
  <c r="H47"/>
  <c r="I47"/>
  <c r="J47"/>
  <c r="D47"/>
  <c r="E41"/>
  <c r="F41"/>
  <c r="G41"/>
  <c r="H41"/>
  <c r="I41"/>
  <c r="J41"/>
  <c r="D41"/>
  <c r="K41"/>
  <c r="E36"/>
  <c r="F36"/>
  <c r="G36"/>
  <c r="H36"/>
  <c r="I36"/>
  <c r="J36"/>
  <c r="D36"/>
  <c r="K36"/>
  <c r="E31"/>
  <c r="F31"/>
  <c r="G31"/>
  <c r="H31"/>
  <c r="I31"/>
  <c r="J31"/>
  <c r="D31"/>
  <c r="E25"/>
  <c r="F25"/>
  <c r="G25"/>
  <c r="H25"/>
  <c r="I25"/>
  <c r="J25"/>
  <c r="D25"/>
  <c r="E20"/>
  <c r="F20"/>
  <c r="H20"/>
  <c r="I20"/>
  <c r="J20"/>
  <c r="D20"/>
  <c r="K20"/>
  <c r="E14"/>
  <c r="F14"/>
  <c r="H14"/>
  <c r="I14"/>
  <c r="J14"/>
  <c r="K7"/>
  <c r="K8"/>
  <c r="K9"/>
  <c r="K10"/>
  <c r="K11"/>
  <c r="K12"/>
  <c r="K13"/>
  <c r="K18"/>
  <c r="K29"/>
  <c r="K30"/>
  <c r="K35"/>
  <c r="K40"/>
  <c r="K45"/>
  <c r="K46"/>
  <c r="K54"/>
  <c r="K59"/>
  <c r="K60"/>
  <c r="K61"/>
  <c r="H14" i="1"/>
  <c r="J14"/>
  <c r="J63"/>
  <c r="E19"/>
  <c r="H19"/>
  <c r="I19"/>
  <c r="J19"/>
  <c r="D19"/>
  <c r="E27"/>
  <c r="F27"/>
  <c r="G27"/>
  <c r="H27"/>
  <c r="I27"/>
  <c r="J27"/>
  <c r="D27"/>
  <c r="K27"/>
  <c r="E32"/>
  <c r="F32"/>
  <c r="G32"/>
  <c r="H32"/>
  <c r="I32"/>
  <c r="J32"/>
  <c r="D32"/>
  <c r="E36"/>
  <c r="F36"/>
  <c r="K36"/>
  <c r="H36"/>
  <c r="I36"/>
  <c r="J36"/>
  <c r="D36"/>
  <c r="E46"/>
  <c r="F46"/>
  <c r="H46"/>
  <c r="H63"/>
  <c r="I46"/>
  <c r="J46"/>
  <c r="D46"/>
  <c r="E54"/>
  <c r="K54"/>
  <c r="F54"/>
  <c r="G54"/>
  <c r="H54"/>
  <c r="I54"/>
  <c r="J54"/>
  <c r="D54"/>
  <c r="E60"/>
  <c r="K60"/>
  <c r="F60"/>
  <c r="G60"/>
  <c r="H60"/>
  <c r="I60"/>
  <c r="I63"/>
  <c r="D60"/>
  <c r="E65" i="2"/>
  <c r="F65"/>
  <c r="G65"/>
  <c r="H65"/>
  <c r="H68"/>
  <c r="I65"/>
  <c r="I68"/>
  <c r="J65"/>
  <c r="D65"/>
  <c r="D68"/>
  <c r="E58"/>
  <c r="E68"/>
  <c r="F58"/>
  <c r="F68"/>
  <c r="G58"/>
  <c r="H58"/>
  <c r="I58"/>
  <c r="J58"/>
  <c r="D58"/>
  <c r="E50"/>
  <c r="F50"/>
  <c r="G50"/>
  <c r="H50"/>
  <c r="I50"/>
  <c r="J50"/>
  <c r="D50"/>
  <c r="E44"/>
  <c r="F44"/>
  <c r="G44"/>
  <c r="H44"/>
  <c r="I44"/>
  <c r="J44"/>
  <c r="D44"/>
  <c r="K44"/>
  <c r="E39"/>
  <c r="K39"/>
  <c r="F39"/>
  <c r="G39"/>
  <c r="H39"/>
  <c r="I39"/>
  <c r="J39"/>
  <c r="D39"/>
  <c r="E34"/>
  <c r="F34"/>
  <c r="G34"/>
  <c r="H34"/>
  <c r="I34"/>
  <c r="J34"/>
  <c r="D34"/>
  <c r="K34"/>
  <c r="E28"/>
  <c r="K28"/>
  <c r="F28"/>
  <c r="G28"/>
  <c r="H28"/>
  <c r="I28"/>
  <c r="J28"/>
  <c r="D28"/>
  <c r="E20"/>
  <c r="G20"/>
  <c r="H20"/>
  <c r="I20"/>
  <c r="J20"/>
  <c r="D20"/>
  <c r="K20"/>
  <c r="E14"/>
  <c r="F14"/>
  <c r="G14"/>
  <c r="K14"/>
  <c r="H14"/>
  <c r="I14"/>
  <c r="J14"/>
  <c r="D14"/>
  <c r="K6"/>
  <c r="K7"/>
  <c r="K8"/>
  <c r="K9"/>
  <c r="K10"/>
  <c r="K11"/>
  <c r="K12"/>
  <c r="K13"/>
  <c r="K18"/>
  <c r="K27"/>
  <c r="K32"/>
  <c r="K33"/>
  <c r="K38"/>
  <c r="K43"/>
  <c r="K48"/>
  <c r="K49"/>
  <c r="K57"/>
  <c r="K62"/>
  <c r="K63"/>
  <c r="K64"/>
  <c r="K58" i="1"/>
  <c r="K53"/>
  <c r="K45"/>
  <c r="K30"/>
  <c r="K31"/>
  <c r="K26"/>
  <c r="K17"/>
  <c r="G65" i="7"/>
  <c r="G67"/>
  <c r="G69"/>
  <c r="G20" i="4"/>
  <c r="G21"/>
  <c r="G36" i="1"/>
  <c r="K7"/>
  <c r="G46"/>
  <c r="K46"/>
  <c r="K18"/>
  <c r="G41"/>
  <c r="E23" i="6"/>
  <c r="D23" i="5"/>
  <c r="F23"/>
  <c r="F23" i="4"/>
  <c r="K19" i="3"/>
  <c r="K55"/>
  <c r="K65" i="2"/>
  <c r="K58"/>
  <c r="K19" i="1"/>
  <c r="K31" i="3"/>
  <c r="K50" i="2"/>
  <c r="K50" i="1"/>
  <c r="K32"/>
  <c r="K54" i="2"/>
  <c r="J68"/>
  <c r="G23" i="5"/>
  <c r="G23" i="4"/>
  <c r="F67" i="7"/>
  <c r="F69"/>
  <c r="H67"/>
  <c r="H69"/>
  <c r="G65" i="3"/>
  <c r="D12" i="4"/>
  <c r="D23"/>
  <c r="E14" i="1"/>
  <c r="E63"/>
  <c r="K8"/>
  <c r="K62" i="3"/>
  <c r="K65"/>
  <c r="G14"/>
  <c r="K14"/>
  <c r="K68" i="2"/>
  <c r="G68"/>
  <c r="K14" i="1"/>
  <c r="K63"/>
  <c r="G63"/>
  <c r="K6"/>
</calcChain>
</file>

<file path=xl/sharedStrings.xml><?xml version="1.0" encoding="utf-8"?>
<sst xmlns="http://schemas.openxmlformats.org/spreadsheetml/2006/main" count="1515" uniqueCount="245">
  <si>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</si>
  <si>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</si>
  <si>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</si>
  <si>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</si>
  <si>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</si>
  <si>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</si>
  <si>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</si>
  <si>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</si>
  <si>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</si>
  <si>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</si>
  <si>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</si>
  <si>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</si>
  <si>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</si>
  <si>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</si>
  <si>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</si>
  <si>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</si>
  <si>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</si>
  <si>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</si>
  <si>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</si>
  <si>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</si>
  <si>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</si>
  <si>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</si>
  <si>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</si>
  <si>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</si>
  <si>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</si>
  <si>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</si>
  <si>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</si>
  <si>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</si>
  <si>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</si>
  <si>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</si>
  <si>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</si>
  <si>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</si>
  <si>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</si>
  <si>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</si>
  <si>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</si>
  <si>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</si>
  <si>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</si>
  <si>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</si>
  <si>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</si>
  <si>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</si>
  <si>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</si>
  <si>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</si>
  <si>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</si>
  <si>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</si>
  <si>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</si>
  <si>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</si>
  <si>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</si>
  <si>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</si>
  <si>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</si>
  <si>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</si>
  <si>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</si>
  <si>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</si>
  <si>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</si>
  <si>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</si>
  <si>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</si>
  <si>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</si>
  <si>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</si>
  <si>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</si>
  <si>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</si>
  <si>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</si>
  <si>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</si>
  <si>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</si>
  <si>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</si>
  <si>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</si>
  <si>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</si>
  <si>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</si>
  <si>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</si>
  <si>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</si>
  <si>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</si>
  <si>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</si>
  <si>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</si>
  <si>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</si>
  <si>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</si>
  <si>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</si>
  <si>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</si>
  <si>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</si>
  <si>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</si>
  <si>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</si>
  <si>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</si>
  <si>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</si>
  <si>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SPESE PER MISSIONI, PROGRAMMI E MACROAGGREGATI
SPESE CORRENTI - PREVISIONI DI COMPETENZA
Esercizio finanziario 2020</t>
  </si>
  <si>
    <t>SPESE PER MISSIONI, PROGRAMMI E MACROAGGREGATI
SPESE CORRENTI - PREVISIONI DI COMPETENZA
Esercizio finanziario 2021</t>
  </si>
  <si>
    <t>SPESE PER MISSIONI, PROGRAMMI E MACROAGGREGATI
SPESE CORRENTI - PREVISIONI DI COMPETENZA
Esercizio finanziario 2022</t>
  </si>
  <si>
    <t>SPESE PER MISSIONI, PROGRAMMI E MACROAGGREGATI
SPESE IN CONTO CAPITALE E SPESE PER INCREMENTO DI ATTIVITA' FINANZIARIE
PREVISIONI DI COMPETENZA
Esercizio finanziario 2020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</si>
  <si>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</si>
  <si>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</si>
  <si>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</si>
  <si>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</si>
  <si>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</si>
  <si>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</si>
  <si>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</si>
  <si>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</si>
  <si>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>SPESE PER MISSIONI, PROGRAMMI E MACROAGGREGATI
SPESE IN CONTO CAPITALE E SPESE PER INCREMENTO DI ATTIVITA' FINANZIARIE
PREVISIONI DI COMPETENZA
Esercizio finanziario 2021</t>
  </si>
  <si>
    <t>SPESE PER MISSIONI, PROGRAMMI E MACROAGGREGATI
SPESE IN CONTO CAPITALE E SPESE PER INCREMENTO DI ATTIVITA' FINANZIARIE
PREVISIONI DI COMPETENZA
Esercizio finanziario 2022</t>
  </si>
  <si>
    <t xml:space="preserve"> </t>
  </si>
  <si>
    <t>DENOMINAZIONE</t>
  </si>
  <si>
    <t>PREVISIONI DELL'ANNO 2020</t>
  </si>
  <si>
    <t>PREVISIONI DELL'ANNO 2021</t>
  </si>
  <si>
    <t>PREVISIONI DELL'ANNO 2022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</si>
  <si>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</si>
  <si>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</si>
  <si>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</si>
  <si>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</si>
  <si>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</si>
  <si>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</si>
  <si>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</si>
  <si>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</si>
  <si>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</si>
  <si>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</si>
  <si>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</si>
  <si>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</si>
  <si>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</si>
  <si>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</si>
  <si>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</si>
  <si>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</si>
  <si>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</si>
  <si>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</si>
  <si>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</si>
  <si>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</si>
  <si>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</si>
  <si>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</si>
  <si>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</si>
  <si>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</si>
  <si>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</si>
  <si>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</si>
  <si>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</si>
  <si>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</si>
  <si>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</si>
  <si>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</si>
  <si>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</si>
  <si>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</si>
  <si>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</si>
  <si>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</si>
  <si>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</si>
  <si>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</si>
  <si>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</si>
  <si>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</si>
  <si>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</si>
  <si>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</si>
  <si>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</si>
  <si>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</si>
  <si>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</si>
  <si>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</si>
  <si>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</si>
  <si>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</si>
  <si>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</si>
  <si>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</si>
  <si>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</si>
  <si>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</si>
  <si>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</si>
  <si>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</si>
  <si>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</si>
  <si>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</si>
  <si>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</si>
  <si>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</si>
  <si>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</si>
  <si>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</si>
  <si>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</si>
  <si>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</si>
  <si>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</si>
  <si>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</si>
  <si>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</si>
  <si>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</si>
  <si>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</si>
  <si>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</si>
  <si>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</si>
  <si>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</si>
  <si>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</si>
  <si>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</si>
  <si>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</si>
  <si>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</si>
  <si>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</si>
  <si>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</si>
  <si>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</si>
  <si>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</si>
  <si>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</si>
  <si>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</si>
  <si>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Previsioni dell'anno 2020</t>
  </si>
  <si>
    <t>Previsioni dell'anno 2021</t>
  </si>
  <si>
    <t>Previsioni dell'anno 2022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</si>
  <si>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</si>
  <si>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</si>
  <si>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</si>
  <si>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</si>
  <si>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</si>
  <si>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</si>
  <si>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</si>
  <si>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</si>
  <si>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</si>
  <si>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</si>
  <si>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</si>
  <si>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</si>
  <si>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</si>
  <si>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</si>
  <si>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</si>
  <si>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</si>
  <si>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</si>
  <si>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</si>
  <si>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</si>
  <si>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</si>
  <si>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</si>
  <si>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</si>
  <si>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</si>
  <si>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</si>
  <si>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</si>
  <si>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</si>
  <si>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</si>
  <si>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</si>
  <si>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</si>
  <si>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</si>
  <si>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</si>
  <si>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</si>
  <si>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</si>
  <si>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</si>
  <si>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</si>
  <si>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</si>
  <si>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</si>
  <si>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SPESE PER MISSIONI, PROGRAMMI E MACROAGGREGATI
SPESE PER SERVIZI PER CONTO TERZI E PARTITE DI GIRO
PREVISIONI DI COMPETENZA
Esercizio finanziario 2020</t>
  </si>
  <si>
    <t>SPESE PER MISSIONI, PROGRAMMI E MACROAGGREGATI
SPESE PER SERVIZI PER CONTO TERZI E PARTITE DI GIRO
PREVISIONI DI COMPETENZA
Esercizio finanziario 2021</t>
  </si>
  <si>
    <t>SPESE PER MISSIONI, PROGRAMMI E MACROAGGREGATI
SPESE PER SERVIZI PER CONTO TERZI E PARTITE DI GIRO
PREVISIONI DI COMPETENZA
Esercizio finanziario 2022</t>
  </si>
  <si>
    <t>ENTRATE PER TITOLI TIPOLOGIE E CATEGORIE</t>
  </si>
  <si>
    <t>Titolo Tipologia Categoria</t>
  </si>
  <si>
    <t>Avanzo di Amministrazione</t>
  </si>
  <si>
    <t>Allegato B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</si>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</sst>
</file>

<file path=xl/styles.xml><?xml version="1.0" encoding="utf-8"?>
<styleSheet xmlns="http://schemas.openxmlformats.org/spreadsheetml/2006/main">
  <numFmts count="1">
    <numFmt numFmtId="179" formatCode="_(* #,##0.00_);_(* \(#,##0.00\);_(* &quot;-&quot;??_);_(@_)"/>
  </numFmts>
  <fonts count="36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7"/>
      <color indexed="9"/>
      <name val="Arial"/>
      <family val="2"/>
    </font>
    <font>
      <sz val="9"/>
      <color indexed="9"/>
      <name val="Arial"/>
      <family val="2"/>
    </font>
    <font>
      <sz val="7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9"/>
      <color indexed="8"/>
      <name val="Arial"/>
      <family val="2"/>
    </font>
    <font>
      <i/>
      <sz val="12"/>
      <name val="Arial"/>
      <family val="2"/>
    </font>
    <font>
      <sz val="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269">
    <xf numFmtId="0" fontId="0" fillId="0" borderId="0" xfId="0"/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 vertical="center"/>
    </xf>
    <xf numFmtId="4" fontId="4" fillId="2" borderId="4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9" fillId="2" borderId="0" xfId="2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2" fillId="0" borderId="0" xfId="2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2" xfId="2" applyNumberFormat="1" applyFont="1" applyFill="1" applyBorder="1" applyAlignment="1">
      <alignment horizontal="center" vertical="center"/>
    </xf>
    <xf numFmtId="49" fontId="5" fillId="2" borderId="2" xfId="2" applyNumberFormat="1" applyFont="1" applyFill="1" applyBorder="1" applyAlignment="1">
      <alignment horizontal="left" vertical="center"/>
    </xf>
    <xf numFmtId="0" fontId="3" fillId="2" borderId="5" xfId="2" applyFont="1" applyFill="1" applyBorder="1" applyAlignment="1">
      <alignment horizontal="left" vertical="center"/>
    </xf>
    <xf numFmtId="49" fontId="3" fillId="2" borderId="3" xfId="2" applyNumberFormat="1" applyFont="1" applyFill="1" applyBorder="1" applyAlignment="1">
      <alignment horizontal="center" vertical="center"/>
    </xf>
    <xf numFmtId="49" fontId="3" fillId="2" borderId="3" xfId="2" applyNumberFormat="1" applyFont="1" applyFill="1" applyBorder="1" applyAlignment="1">
      <alignment horizontal="left" vertical="center" wrapText="1"/>
    </xf>
    <xf numFmtId="4" fontId="3" fillId="2" borderId="3" xfId="2" applyNumberFormat="1" applyFont="1" applyFill="1" applyBorder="1" applyAlignment="1">
      <alignment horizontal="right" vertical="center"/>
    </xf>
    <xf numFmtId="4" fontId="3" fillId="2" borderId="6" xfId="2" applyNumberFormat="1" applyFont="1" applyFill="1" applyBorder="1" applyAlignment="1">
      <alignment horizontal="right" vertical="center"/>
    </xf>
    <xf numFmtId="0" fontId="3" fillId="2" borderId="4" xfId="2" applyFont="1" applyFill="1" applyBorder="1" applyAlignment="1">
      <alignment horizontal="left" vertical="center"/>
    </xf>
    <xf numFmtId="4" fontId="4" fillId="2" borderId="4" xfId="2" applyNumberFormat="1" applyFont="1" applyFill="1" applyBorder="1" applyAlignment="1">
      <alignment horizontal="right" vertical="center"/>
    </xf>
    <xf numFmtId="4" fontId="4" fillId="2" borderId="1" xfId="2" applyNumberFormat="1" applyFont="1" applyFill="1" applyBorder="1" applyAlignment="1">
      <alignment horizontal="right" vertical="center"/>
    </xf>
    <xf numFmtId="0" fontId="10" fillId="2" borderId="0" xfId="2" applyFont="1" applyFill="1" applyAlignment="1">
      <alignment horizontal="left" wrapText="1"/>
    </xf>
    <xf numFmtId="0" fontId="12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 wrapText="1"/>
    </xf>
    <xf numFmtId="49" fontId="6" fillId="2" borderId="2" xfId="2" applyNumberFormat="1" applyFont="1" applyFill="1" applyBorder="1" applyAlignment="1">
      <alignment horizontal="left" vertical="center" wrapText="1"/>
    </xf>
    <xf numFmtId="49" fontId="6" fillId="2" borderId="4" xfId="2" applyNumberFormat="1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wrapText="1"/>
    </xf>
    <xf numFmtId="0" fontId="2" fillId="0" borderId="0" xfId="2" applyAlignment="1">
      <alignment wrapText="1"/>
    </xf>
    <xf numFmtId="0" fontId="14" fillId="2" borderId="0" xfId="2" applyFont="1" applyFill="1" applyAlignment="1">
      <alignment horizontal="left"/>
    </xf>
    <xf numFmtId="49" fontId="9" fillId="2" borderId="1" xfId="2" applyNumberFormat="1" applyFont="1" applyFill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2" xfId="2" applyNumberFormat="1" applyFont="1" applyFill="1" applyBorder="1" applyAlignment="1">
      <alignment horizontal="center" vertical="center"/>
    </xf>
    <xf numFmtId="49" fontId="15" fillId="2" borderId="2" xfId="2" applyNumberFormat="1" applyFont="1" applyFill="1" applyBorder="1" applyAlignment="1">
      <alignment horizontal="left" vertical="center"/>
    </xf>
    <xf numFmtId="0" fontId="14" fillId="2" borderId="5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3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left" vertical="center" wrapText="1"/>
    </xf>
    <xf numFmtId="4" fontId="14" fillId="2" borderId="3" xfId="2" applyNumberFormat="1" applyFont="1" applyFill="1" applyBorder="1" applyAlignment="1">
      <alignment horizontal="right" vertical="center"/>
    </xf>
    <xf numFmtId="4" fontId="14" fillId="2" borderId="6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4" xfId="2" applyFont="1" applyFill="1" applyBorder="1" applyAlignment="1">
      <alignment horizontal="left" vertical="center"/>
    </xf>
    <xf numFmtId="4" fontId="9" fillId="2" borderId="4" xfId="2" applyNumberFormat="1" applyFont="1" applyFill="1" applyBorder="1" applyAlignment="1">
      <alignment horizontal="right" vertical="center"/>
    </xf>
    <xf numFmtId="4" fontId="9" fillId="2" borderId="7" xfId="2" applyNumberFormat="1" applyFont="1" applyFill="1" applyBorder="1" applyAlignment="1">
      <alignment horizontal="right" vertical="center"/>
    </xf>
    <xf numFmtId="4" fontId="9" fillId="2" borderId="1" xfId="2" applyNumberFormat="1" applyFont="1" applyFill="1" applyBorder="1" applyAlignment="1">
      <alignment horizontal="right" vertical="center"/>
    </xf>
    <xf numFmtId="0" fontId="16" fillId="2" borderId="0" xfId="2" applyFont="1" applyFill="1" applyAlignment="1">
      <alignment horizontal="left" vertical="center" wrapText="1"/>
    </xf>
    <xf numFmtId="49" fontId="16" fillId="2" borderId="2" xfId="2" applyNumberFormat="1" applyFont="1" applyFill="1" applyBorder="1" applyAlignment="1">
      <alignment horizontal="left" vertical="center" wrapText="1"/>
    </xf>
    <xf numFmtId="49" fontId="16" fillId="2" borderId="4" xfId="2" applyNumberFormat="1" applyFont="1" applyFill="1" applyBorder="1" applyAlignment="1">
      <alignment horizontal="left" vertical="center" wrapText="1"/>
    </xf>
    <xf numFmtId="0" fontId="14" fillId="2" borderId="0" xfId="2" applyFont="1" applyFill="1" applyAlignment="1">
      <alignment horizontal="left" wrapText="1"/>
    </xf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49" fontId="9" fillId="2" borderId="0" xfId="0" applyNumberFormat="1" applyFont="1" applyFill="1" applyBorder="1" applyAlignment="1">
      <alignment vertical="center" wrapText="1"/>
    </xf>
    <xf numFmtId="4" fontId="14" fillId="3" borderId="11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left" vertical="center" wrapText="1"/>
    </xf>
    <xf numFmtId="4" fontId="9" fillId="3" borderId="13" xfId="0" applyNumberFormat="1" applyFont="1" applyFill="1" applyBorder="1" applyAlignment="1">
      <alignment vertical="center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left" vertical="center" wrapText="1"/>
    </xf>
    <xf numFmtId="4" fontId="14" fillId="3" borderId="13" xfId="0" applyNumberFormat="1" applyFont="1" applyFill="1" applyBorder="1" applyAlignment="1">
      <alignment vertical="center"/>
    </xf>
    <xf numFmtId="4" fontId="14" fillId="3" borderId="14" xfId="0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left" vertical="center" wrapText="1"/>
    </xf>
    <xf numFmtId="4" fontId="9" fillId="3" borderId="15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left" vertical="center" wrapText="1"/>
    </xf>
    <xf numFmtId="0" fontId="14" fillId="3" borderId="16" xfId="0" applyFont="1" applyFill="1" applyBorder="1" applyAlignment="1">
      <alignment horizontal="left"/>
    </xf>
    <xf numFmtId="0" fontId="14" fillId="2" borderId="17" xfId="0" applyFont="1" applyFill="1" applyBorder="1" applyAlignment="1">
      <alignment horizontal="right" vertical="center"/>
    </xf>
    <xf numFmtId="49" fontId="16" fillId="2" borderId="18" xfId="0" applyNumberFormat="1" applyFont="1" applyFill="1" applyBorder="1" applyAlignment="1">
      <alignment horizontal="right" vertical="center" wrapText="1"/>
    </xf>
    <xf numFmtId="179" fontId="9" fillId="3" borderId="17" xfId="1" applyFont="1" applyFill="1" applyBorder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0" fontId="9" fillId="3" borderId="16" xfId="0" applyFont="1" applyFill="1" applyBorder="1" applyAlignment="1">
      <alignment horizontal="left" vertical="center"/>
    </xf>
    <xf numFmtId="4" fontId="9" fillId="3" borderId="17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4" borderId="0" xfId="0" applyFont="1" applyFill="1"/>
    <xf numFmtId="0" fontId="18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49" fontId="21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/>
    </xf>
    <xf numFmtId="0" fontId="21" fillId="2" borderId="17" xfId="0" applyFont="1" applyFill="1" applyBorder="1" applyAlignment="1">
      <alignment horizontal="center" vertical="center"/>
    </xf>
    <xf numFmtId="49" fontId="21" fillId="2" borderId="18" xfId="0" applyNumberFormat="1" applyFont="1" applyFill="1" applyBorder="1" applyAlignment="1">
      <alignment horizontal="left" vertical="center"/>
    </xf>
    <xf numFmtId="4" fontId="21" fillId="2" borderId="17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/>
    </xf>
    <xf numFmtId="49" fontId="25" fillId="2" borderId="2" xfId="0" applyNumberFormat="1" applyFont="1" applyFill="1" applyBorder="1" applyAlignment="1">
      <alignment horizontal="left" vertical="center"/>
    </xf>
    <xf numFmtId="49" fontId="21" fillId="2" borderId="2" xfId="0" applyNumberFormat="1" applyFont="1" applyFill="1" applyBorder="1" applyAlignment="1">
      <alignment horizontal="left" vertical="center"/>
    </xf>
    <xf numFmtId="49" fontId="26" fillId="2" borderId="0" xfId="0" applyNumberFormat="1" applyFont="1" applyFill="1" applyAlignment="1">
      <alignment horizontal="left"/>
    </xf>
    <xf numFmtId="49" fontId="27" fillId="2" borderId="3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left" vertical="center"/>
    </xf>
    <xf numFmtId="4" fontId="27" fillId="2" borderId="3" xfId="0" applyNumberFormat="1" applyFont="1" applyFill="1" applyBorder="1" applyAlignment="1">
      <alignment horizontal="right" vertical="center"/>
    </xf>
    <xf numFmtId="0" fontId="26" fillId="2" borderId="0" xfId="0" applyFont="1" applyFill="1" applyAlignment="1">
      <alignment horizontal="left"/>
    </xf>
    <xf numFmtId="49" fontId="26" fillId="2" borderId="0" xfId="0" applyNumberFormat="1" applyFont="1" applyFill="1" applyAlignment="1">
      <alignment horizontal="left" vertical="center"/>
    </xf>
    <xf numFmtId="49" fontId="21" fillId="2" borderId="4" xfId="0" applyNumberFormat="1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left" vertical="center"/>
    </xf>
    <xf numFmtId="4" fontId="21" fillId="2" borderId="4" xfId="0" applyNumberFormat="1" applyFont="1" applyFill="1" applyBorder="1" applyAlignment="1">
      <alignment horizontal="right" vertical="center"/>
    </xf>
    <xf numFmtId="0" fontId="28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4" fontId="21" fillId="2" borderId="1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left" vertical="center"/>
    </xf>
    <xf numFmtId="0" fontId="22" fillId="2" borderId="17" xfId="0" applyFont="1" applyFill="1" applyBorder="1" applyAlignment="1">
      <alignment horizontal="right" vertical="center"/>
    </xf>
    <xf numFmtId="49" fontId="22" fillId="2" borderId="18" xfId="0" applyNumberFormat="1" applyFont="1" applyFill="1" applyBorder="1" applyAlignment="1">
      <alignment horizontal="right" vertical="center"/>
    </xf>
    <xf numFmtId="179" fontId="21" fillId="2" borderId="1" xfId="1" applyFont="1" applyFill="1" applyBorder="1" applyAlignment="1">
      <alignment horizontal="right" vertical="center"/>
    </xf>
    <xf numFmtId="0" fontId="29" fillId="2" borderId="0" xfId="0" applyFont="1" applyFill="1" applyAlignment="1">
      <alignment horizontal="left"/>
    </xf>
    <xf numFmtId="4" fontId="30" fillId="2" borderId="1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right" vertical="center"/>
    </xf>
    <xf numFmtId="4" fontId="30" fillId="2" borderId="4" xfId="0" applyNumberFormat="1" applyFont="1" applyFill="1" applyBorder="1" applyAlignment="1">
      <alignment horizontal="right" vertical="center"/>
    </xf>
    <xf numFmtId="49" fontId="31" fillId="2" borderId="4" xfId="0" applyNumberFormat="1" applyFont="1" applyFill="1" applyBorder="1" applyAlignment="1">
      <alignment horizontal="left" vertical="center"/>
    </xf>
    <xf numFmtId="0" fontId="29" fillId="2" borderId="19" xfId="0" applyFont="1" applyFill="1" applyBorder="1" applyAlignment="1">
      <alignment horizontal="left" vertical="center"/>
    </xf>
    <xf numFmtId="4" fontId="29" fillId="2" borderId="3" xfId="0" applyNumberFormat="1" applyFont="1" applyFill="1" applyBorder="1" applyAlignment="1">
      <alignment horizontal="right" vertical="center"/>
    </xf>
    <xf numFmtId="49" fontId="29" fillId="2" borderId="3" xfId="0" applyNumberFormat="1" applyFont="1" applyFill="1" applyBorder="1" applyAlignment="1">
      <alignment horizontal="left" vertical="center" wrapText="1"/>
    </xf>
    <xf numFmtId="49" fontId="29" fillId="2" borderId="3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right" vertical="center"/>
    </xf>
    <xf numFmtId="49" fontId="32" fillId="2" borderId="2" xfId="0" applyNumberFormat="1" applyFont="1" applyFill="1" applyBorder="1" applyAlignment="1">
      <alignment horizontal="left" vertical="center"/>
    </xf>
    <xf numFmtId="49" fontId="31" fillId="2" borderId="2" xfId="0" applyNumberFormat="1" applyFont="1" applyFill="1" applyBorder="1" applyAlignment="1">
      <alignment horizontal="left" vertical="center"/>
    </xf>
    <xf numFmtId="49" fontId="31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right" vertical="center"/>
    </xf>
    <xf numFmtId="49" fontId="32" fillId="2" borderId="0" xfId="0" applyNumberFormat="1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49" fontId="30" fillId="2" borderId="1" xfId="0" applyNumberFormat="1" applyFont="1" applyFill="1" applyBorder="1" applyAlignment="1">
      <alignment horizontal="center" vertical="center"/>
    </xf>
    <xf numFmtId="49" fontId="30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29" fillId="2" borderId="4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/>
    </xf>
    <xf numFmtId="0" fontId="18" fillId="2" borderId="6" xfId="0" applyFont="1" applyFill="1" applyBorder="1" applyAlignment="1">
      <alignment horizontal="left"/>
    </xf>
    <xf numFmtId="0" fontId="28" fillId="2" borderId="6" xfId="0" applyFont="1" applyFill="1" applyBorder="1" applyAlignment="1">
      <alignment horizontal="left"/>
    </xf>
    <xf numFmtId="0" fontId="21" fillId="2" borderId="6" xfId="0" applyFont="1" applyFill="1" applyBorder="1" applyAlignment="1">
      <alignment horizontal="left" vertical="center"/>
    </xf>
    <xf numFmtId="49" fontId="9" fillId="3" borderId="20" xfId="0" applyNumberFormat="1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left"/>
    </xf>
    <xf numFmtId="4" fontId="14" fillId="3" borderId="21" xfId="0" applyNumberFormat="1" applyFont="1" applyFill="1" applyBorder="1" applyAlignment="1">
      <alignment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left" vertical="center"/>
    </xf>
    <xf numFmtId="4" fontId="9" fillId="3" borderId="21" xfId="0" applyNumberFormat="1" applyFont="1" applyFill="1" applyBorder="1" applyAlignment="1">
      <alignment vertical="center"/>
    </xf>
    <xf numFmtId="4" fontId="9" fillId="3" borderId="23" xfId="0" applyNumberFormat="1" applyFont="1" applyFill="1" applyBorder="1" applyAlignment="1">
      <alignment vertical="center"/>
    </xf>
    <xf numFmtId="179" fontId="9" fillId="3" borderId="24" xfId="1" applyFont="1" applyFill="1" applyBorder="1" applyAlignment="1">
      <alignment horizontal="center" vertical="center"/>
    </xf>
    <xf numFmtId="4" fontId="9" fillId="3" borderId="24" xfId="0" applyNumberFormat="1" applyFont="1" applyFill="1" applyBorder="1" applyAlignment="1">
      <alignment horizontal="center" vertical="center"/>
    </xf>
    <xf numFmtId="4" fontId="14" fillId="3" borderId="25" xfId="0" applyNumberFormat="1" applyFont="1" applyFill="1" applyBorder="1" applyAlignment="1">
      <alignment vertical="center"/>
    </xf>
    <xf numFmtId="0" fontId="14" fillId="3" borderId="11" xfId="0" applyFont="1" applyFill="1" applyBorder="1" applyAlignment="1">
      <alignment horizontal="left"/>
    </xf>
    <xf numFmtId="0" fontId="9" fillId="3" borderId="26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9" fillId="3" borderId="11" xfId="0" applyNumberFormat="1" applyFont="1" applyFill="1" applyBorder="1" applyAlignment="1">
      <alignment vertical="center"/>
    </xf>
    <xf numFmtId="0" fontId="9" fillId="3" borderId="11" xfId="0" applyFont="1" applyFill="1" applyBorder="1" applyAlignment="1">
      <alignment horizontal="left" vertical="center"/>
    </xf>
    <xf numFmtId="4" fontId="9" fillId="3" borderId="27" xfId="0" applyNumberFormat="1" applyFont="1" applyFill="1" applyBorder="1" applyAlignment="1">
      <alignment vertical="center"/>
    </xf>
    <xf numFmtId="0" fontId="14" fillId="3" borderId="28" xfId="0" applyFont="1" applyFill="1" applyBorder="1" applyAlignment="1">
      <alignment horizontal="left"/>
    </xf>
    <xf numFmtId="179" fontId="9" fillId="3" borderId="28" xfId="1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left" vertical="center"/>
    </xf>
    <xf numFmtId="4" fontId="9" fillId="3" borderId="29" xfId="0" applyNumberFormat="1" applyFont="1" applyFill="1" applyBorder="1" applyAlignment="1">
      <alignment horizontal="center" vertical="center"/>
    </xf>
    <xf numFmtId="49" fontId="9" fillId="2" borderId="30" xfId="0" applyNumberFormat="1" applyFont="1" applyFill="1" applyBorder="1" applyAlignment="1">
      <alignment vertical="center" wrapText="1"/>
    </xf>
    <xf numFmtId="4" fontId="14" fillId="3" borderId="31" xfId="0" applyNumberFormat="1" applyFont="1" applyFill="1" applyBorder="1" applyAlignment="1">
      <alignment vertical="center"/>
    </xf>
    <xf numFmtId="4" fontId="14" fillId="3" borderId="32" xfId="0" applyNumberFormat="1" applyFont="1" applyFill="1" applyBorder="1" applyAlignment="1">
      <alignment vertical="center"/>
    </xf>
    <xf numFmtId="49" fontId="9" fillId="2" borderId="33" xfId="0" applyNumberFormat="1" applyFont="1" applyFill="1" applyBorder="1" applyAlignment="1">
      <alignment vertical="center" wrapText="1"/>
    </xf>
    <xf numFmtId="4" fontId="14" fillId="3" borderId="34" xfId="0" applyNumberFormat="1" applyFont="1" applyFill="1" applyBorder="1" applyAlignment="1">
      <alignment vertical="center"/>
    </xf>
    <xf numFmtId="0" fontId="14" fillId="3" borderId="35" xfId="0" applyFont="1" applyFill="1" applyBorder="1" applyAlignment="1">
      <alignment horizontal="right" vertical="center"/>
    </xf>
    <xf numFmtId="0" fontId="14" fillId="3" borderId="36" xfId="0" applyFont="1" applyFill="1" applyBorder="1" applyAlignment="1">
      <alignment horizontal="left" vertical="center"/>
    </xf>
    <xf numFmtId="179" fontId="33" fillId="2" borderId="0" xfId="1" applyFont="1" applyFill="1" applyAlignment="1">
      <alignment horizontal="left"/>
    </xf>
    <xf numFmtId="0" fontId="34" fillId="4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179" fontId="23" fillId="2" borderId="0" xfId="1" applyFont="1" applyFill="1" applyAlignment="1">
      <alignment horizontal="left"/>
    </xf>
    <xf numFmtId="179" fontId="14" fillId="2" borderId="0" xfId="1" applyFont="1" applyFill="1" applyAlignment="1">
      <alignment horizontal="left"/>
    </xf>
    <xf numFmtId="179" fontId="35" fillId="4" borderId="37" xfId="1" quotePrefix="1" applyFont="1" applyFill="1" applyBorder="1" applyAlignment="1">
      <alignment horizontal="center"/>
    </xf>
    <xf numFmtId="49" fontId="21" fillId="2" borderId="0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left" vertical="center"/>
    </xf>
    <xf numFmtId="4" fontId="21" fillId="2" borderId="0" xfId="0" applyNumberFormat="1" applyFont="1" applyFill="1" applyBorder="1" applyAlignment="1">
      <alignment horizontal="right" vertical="center"/>
    </xf>
    <xf numFmtId="4" fontId="21" fillId="2" borderId="6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/>
    </xf>
    <xf numFmtId="4" fontId="4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8" fillId="4" borderId="0" xfId="0" applyFont="1" applyFill="1" applyAlignment="1">
      <alignment wrapText="1"/>
    </xf>
    <xf numFmtId="0" fontId="8" fillId="4" borderId="0" xfId="0" applyFont="1" applyFill="1"/>
    <xf numFmtId="4" fontId="3" fillId="2" borderId="0" xfId="0" applyNumberFormat="1" applyFont="1" applyFill="1" applyAlignment="1">
      <alignment horizontal="left"/>
    </xf>
    <xf numFmtId="49" fontId="9" fillId="2" borderId="25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35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33" xfId="0" applyFont="1" applyFill="1" applyBorder="1" applyAlignment="1">
      <alignment horizontal="center" vertical="top" wrapText="1"/>
    </xf>
    <xf numFmtId="0" fontId="23" fillId="2" borderId="0" xfId="0" applyFont="1" applyFill="1" applyAlignment="1">
      <alignment horizontal="left" vertical="center"/>
    </xf>
    <xf numFmtId="49" fontId="22" fillId="2" borderId="1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wrapText="1"/>
    </xf>
    <xf numFmtId="49" fontId="21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12" xfId="2" applyNumberFormat="1" applyFont="1" applyFill="1" applyBorder="1" applyAlignment="1">
      <alignment horizontal="center" vertical="center"/>
    </xf>
    <xf numFmtId="49" fontId="4" fillId="2" borderId="5" xfId="2" applyNumberFormat="1" applyFont="1" applyFill="1" applyBorder="1" applyAlignment="1">
      <alignment horizontal="center" vertical="center"/>
    </xf>
    <xf numFmtId="49" fontId="4" fillId="2" borderId="15" xfId="2" applyNumberFormat="1" applyFont="1" applyFill="1" applyBorder="1" applyAlignment="1">
      <alignment horizontal="center" vertical="center"/>
    </xf>
    <xf numFmtId="49" fontId="4" fillId="2" borderId="7" xfId="2" applyNumberFormat="1" applyFont="1" applyFill="1" applyBorder="1" applyAlignment="1">
      <alignment horizontal="center" vertical="center"/>
    </xf>
    <xf numFmtId="49" fontId="6" fillId="2" borderId="17" xfId="2" applyNumberFormat="1" applyFont="1" applyFill="1" applyBorder="1" applyAlignment="1">
      <alignment horizontal="right" vertical="center"/>
    </xf>
    <xf numFmtId="49" fontId="6" fillId="2" borderId="18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12" xfId="2" applyNumberFormat="1" applyFont="1" applyFill="1" applyBorder="1" applyAlignment="1">
      <alignment horizontal="center" vertical="center"/>
    </xf>
    <xf numFmtId="49" fontId="9" fillId="2" borderId="5" xfId="2" applyNumberFormat="1" applyFont="1" applyFill="1" applyBorder="1" applyAlignment="1">
      <alignment horizontal="center" vertical="center"/>
    </xf>
    <xf numFmtId="49" fontId="9" fillId="2" borderId="15" xfId="2" applyNumberFormat="1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horizontal="center" vertical="center"/>
    </xf>
    <xf numFmtId="49" fontId="16" fillId="2" borderId="17" xfId="2" applyNumberFormat="1" applyFont="1" applyFill="1" applyBorder="1" applyAlignment="1">
      <alignment horizontal="right" vertical="center"/>
    </xf>
    <xf numFmtId="49" fontId="16" fillId="2" borderId="18" xfId="2" applyNumberFormat="1" applyFont="1" applyFill="1" applyBorder="1" applyAlignment="1">
      <alignment horizontal="right" vertical="center"/>
    </xf>
    <xf numFmtId="49" fontId="30" fillId="2" borderId="1" xfId="0" applyNumberFormat="1" applyFont="1" applyFill="1" applyBorder="1" applyAlignment="1">
      <alignment horizontal="center" vertical="center"/>
    </xf>
    <xf numFmtId="49" fontId="31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view="pageBreakPreview" zoomScale="80" zoomScaleNormal="90" zoomScaleSheetLayoutView="80" workbookViewId="0">
      <selection activeCell="G17" sqref="G17"/>
    </sheetView>
  </sheetViews>
  <sheetFormatPr defaultColWidth="9.109375" defaultRowHeight="13.2"/>
  <cols>
    <col min="1" max="1" width="1.44140625" style="126" customWidth="1"/>
    <col min="2" max="2" width="2.33203125" style="126" customWidth="1"/>
    <col min="3" max="3" width="12.33203125" style="126" customWidth="1"/>
    <col min="4" max="4" width="3.88671875" style="126" customWidth="1"/>
    <col min="5" max="5" width="70.44140625" style="127" customWidth="1"/>
    <col min="6" max="8" width="29.33203125" style="128" customWidth="1"/>
    <col min="9" max="9" width="9.109375" style="126"/>
    <col min="10" max="10" width="19.6640625" style="126" customWidth="1"/>
    <col min="11" max="11" width="13.33203125" style="126" customWidth="1"/>
    <col min="12" max="16384" width="9.109375" style="126"/>
  </cols>
  <sheetData>
    <row r="1" spans="1:8" ht="15.6">
      <c r="H1" s="211" t="s">
        <v>223</v>
      </c>
    </row>
    <row r="2" spans="1:8" s="87" customFormat="1" ht="30" customHeight="1">
      <c r="C2" s="244" t="s">
        <v>220</v>
      </c>
      <c r="D2" s="244"/>
      <c r="E2" s="244"/>
      <c r="F2" s="244"/>
      <c r="G2" s="244"/>
      <c r="H2" s="244"/>
    </row>
    <row r="3" spans="1:8" s="87" customFormat="1" ht="54.75" customHeight="1">
      <c r="A3" s="88"/>
      <c r="B3" s="88"/>
      <c r="C3" s="89" t="s">
        <v>221</v>
      </c>
      <c r="D3" s="89"/>
      <c r="E3" s="90" t="s">
        <v>95</v>
      </c>
      <c r="F3" s="91" t="s">
        <v>96</v>
      </c>
      <c r="G3" s="91" t="s">
        <v>97</v>
      </c>
      <c r="H3" s="91" t="s">
        <v>98</v>
      </c>
    </row>
    <row r="4" spans="1:8" s="87" customFormat="1" ht="25.5" customHeight="1">
      <c r="A4" s="88"/>
      <c r="B4" s="88"/>
      <c r="C4" s="89"/>
      <c r="D4" s="89"/>
      <c r="E4" s="90"/>
      <c r="F4" s="92" t="s">
        <v>8</v>
      </c>
      <c r="G4" s="92" t="s">
        <v>8</v>
      </c>
      <c r="H4" s="182" t="s">
        <v>8</v>
      </c>
    </row>
    <row r="5" spans="1:8" s="87" customFormat="1">
      <c r="E5" s="93"/>
      <c r="F5" s="94"/>
      <c r="G5" s="94"/>
      <c r="H5" s="183"/>
    </row>
    <row r="6" spans="1:8" s="87" customFormat="1">
      <c r="A6" s="95"/>
      <c r="B6" s="95"/>
      <c r="C6" s="237" t="s">
        <v>94</v>
      </c>
      <c r="D6" s="237"/>
      <c r="E6" s="203" t="s">
        <v>99</v>
      </c>
      <c r="F6" s="204">
        <f>806.38+119941.05+4200</f>
        <v>124947.43000000001</v>
      </c>
      <c r="G6" s="192">
        <f>591.92+131.5</f>
        <v>723.42</v>
      </c>
      <c r="H6" s="205">
        <v>0</v>
      </c>
    </row>
    <row r="7" spans="1:8" s="87" customFormat="1">
      <c r="C7" s="238"/>
      <c r="D7" s="238"/>
      <c r="E7" s="96" t="s">
        <v>100</v>
      </c>
      <c r="F7" s="110">
        <f>186300+2464.4</f>
        <v>188764.4</v>
      </c>
      <c r="G7" s="97">
        <v>183000</v>
      </c>
      <c r="H7" s="184">
        <v>0</v>
      </c>
    </row>
    <row r="8" spans="1:8" s="87" customFormat="1" ht="22.5" customHeight="1">
      <c r="C8" s="239"/>
      <c r="D8" s="239"/>
      <c r="E8" s="206" t="s">
        <v>222</v>
      </c>
      <c r="F8" s="207">
        <f>3542918.47+2560759.55</f>
        <v>6103678.0199999996</v>
      </c>
      <c r="G8" s="208"/>
      <c r="H8" s="209"/>
    </row>
    <row r="9" spans="1:8" s="87" customFormat="1">
      <c r="E9" s="93"/>
      <c r="F9" s="94"/>
      <c r="G9" s="193"/>
      <c r="H9" s="183"/>
    </row>
    <row r="10" spans="1:8" s="87" customFormat="1">
      <c r="A10" s="240"/>
      <c r="B10" s="240"/>
      <c r="C10" s="98"/>
      <c r="D10" s="98"/>
      <c r="E10" s="99" t="s">
        <v>101</v>
      </c>
      <c r="F10" s="100"/>
      <c r="G10" s="194"/>
      <c r="H10" s="185"/>
    </row>
    <row r="11" spans="1:8" s="87" customFormat="1">
      <c r="A11" s="240"/>
      <c r="B11" s="240"/>
      <c r="C11" s="101"/>
      <c r="D11" s="101"/>
      <c r="E11" s="102"/>
      <c r="F11" s="103"/>
      <c r="G11" s="195"/>
      <c r="H11" s="186"/>
    </row>
    <row r="12" spans="1:8" s="87" customFormat="1">
      <c r="A12" s="240"/>
      <c r="B12" s="240"/>
      <c r="C12" s="104" t="s">
        <v>102</v>
      </c>
      <c r="D12" s="104"/>
      <c r="E12" s="105" t="s">
        <v>103</v>
      </c>
      <c r="F12" s="106">
        <f>F13+F14+F15</f>
        <v>24452677.75</v>
      </c>
      <c r="G12" s="196">
        <f>G13+G14+G15</f>
        <v>22585745.080000002</v>
      </c>
      <c r="H12" s="188">
        <f>H13+H14+H15</f>
        <v>22440612</v>
      </c>
    </row>
    <row r="13" spans="1:8" s="87" customFormat="1">
      <c r="A13" s="241" t="s">
        <v>104</v>
      </c>
      <c r="B13" s="241"/>
      <c r="C13" s="107" t="s">
        <v>105</v>
      </c>
      <c r="D13" s="107"/>
      <c r="E13" s="108" t="s">
        <v>106</v>
      </c>
      <c r="F13" s="109">
        <v>172676.07</v>
      </c>
      <c r="G13" s="97">
        <v>172676.07</v>
      </c>
      <c r="H13" s="184">
        <v>172676.07</v>
      </c>
    </row>
    <row r="14" spans="1:8" s="87" customFormat="1">
      <c r="A14" s="242"/>
      <c r="B14" s="242"/>
      <c r="C14" s="107" t="s">
        <v>107</v>
      </c>
      <c r="D14" s="107"/>
      <c r="E14" s="108" t="s">
        <v>108</v>
      </c>
      <c r="F14" s="109">
        <v>15000</v>
      </c>
      <c r="G14" s="97">
        <v>15000</v>
      </c>
      <c r="H14" s="184">
        <v>15000</v>
      </c>
    </row>
    <row r="15" spans="1:8" s="87" customFormat="1">
      <c r="A15" s="242"/>
      <c r="B15" s="242"/>
      <c r="C15" s="107" t="s">
        <v>109</v>
      </c>
      <c r="D15" s="107"/>
      <c r="E15" s="108" t="s">
        <v>110</v>
      </c>
      <c r="F15" s="109">
        <v>24265001.68</v>
      </c>
      <c r="G15" s="97">
        <v>22398069.010000002</v>
      </c>
      <c r="H15" s="184">
        <v>22252935.93</v>
      </c>
    </row>
    <row r="16" spans="1:8" s="87" customFormat="1">
      <c r="A16" s="243"/>
      <c r="B16" s="243"/>
      <c r="C16" s="111"/>
      <c r="D16" s="111"/>
      <c r="E16" s="112"/>
      <c r="F16" s="113"/>
      <c r="G16" s="197"/>
      <c r="H16" s="187"/>
    </row>
    <row r="17" spans="1:8" s="87" customFormat="1">
      <c r="A17" s="240"/>
      <c r="B17" s="240"/>
      <c r="C17" s="104" t="s">
        <v>111</v>
      </c>
      <c r="D17" s="104"/>
      <c r="E17" s="105" t="s">
        <v>112</v>
      </c>
      <c r="F17" s="106">
        <f>F18</f>
        <v>5500</v>
      </c>
      <c r="G17" s="196">
        <f>G18</f>
        <v>5500</v>
      </c>
      <c r="H17" s="188">
        <f>H18</f>
        <v>5500</v>
      </c>
    </row>
    <row r="18" spans="1:8" s="87" customFormat="1">
      <c r="A18" s="242"/>
      <c r="B18" s="242"/>
      <c r="C18" s="107" t="s">
        <v>113</v>
      </c>
      <c r="D18" s="107"/>
      <c r="E18" s="108" t="s">
        <v>114</v>
      </c>
      <c r="F18" s="109">
        <v>5500</v>
      </c>
      <c r="G18" s="97">
        <v>5500</v>
      </c>
      <c r="H18" s="184">
        <v>5500</v>
      </c>
    </row>
    <row r="19" spans="1:8" s="87" customFormat="1">
      <c r="A19" s="243"/>
      <c r="B19" s="243"/>
      <c r="C19" s="111"/>
      <c r="D19" s="111"/>
      <c r="E19" s="112"/>
      <c r="F19" s="113"/>
      <c r="G19" s="197"/>
      <c r="H19" s="187"/>
    </row>
    <row r="20" spans="1:8" s="87" customFormat="1">
      <c r="A20" s="242"/>
      <c r="B20" s="242"/>
      <c r="C20" s="114" t="s">
        <v>104</v>
      </c>
      <c r="D20" s="114"/>
      <c r="E20" s="115" t="s">
        <v>115</v>
      </c>
      <c r="F20" s="116">
        <f>F17+F12</f>
        <v>24458177.75</v>
      </c>
      <c r="G20" s="198">
        <f>G17+G12</f>
        <v>22591245.080000002</v>
      </c>
      <c r="H20" s="189">
        <f>H17+H12</f>
        <v>22446112</v>
      </c>
    </row>
    <row r="21" spans="1:8" s="87" customFormat="1">
      <c r="A21" s="242"/>
      <c r="B21" s="242"/>
      <c r="E21" s="117"/>
      <c r="F21" s="118"/>
      <c r="G21" s="199"/>
      <c r="H21" s="183"/>
    </row>
    <row r="22" spans="1:8" s="87" customFormat="1">
      <c r="A22" s="240"/>
      <c r="B22" s="240"/>
      <c r="C22" s="98"/>
      <c r="D22" s="98"/>
      <c r="E22" s="99" t="s">
        <v>116</v>
      </c>
      <c r="F22" s="100"/>
      <c r="G22" s="194"/>
      <c r="H22" s="185"/>
    </row>
    <row r="23" spans="1:8" s="87" customFormat="1">
      <c r="A23" s="240"/>
      <c r="B23" s="240"/>
      <c r="C23" s="101"/>
      <c r="D23" s="101"/>
      <c r="E23" s="102"/>
      <c r="F23" s="103"/>
      <c r="G23" s="195"/>
      <c r="H23" s="186"/>
    </row>
    <row r="24" spans="1:8" s="87" customFormat="1" ht="26.4">
      <c r="A24" s="240"/>
      <c r="B24" s="240"/>
      <c r="C24" s="104" t="s">
        <v>117</v>
      </c>
      <c r="D24" s="104"/>
      <c r="E24" s="105" t="s">
        <v>118</v>
      </c>
      <c r="F24" s="106">
        <f>F25+F26</f>
        <v>1000</v>
      </c>
      <c r="G24" s="196">
        <f>G25+G26</f>
        <v>1000</v>
      </c>
      <c r="H24" s="188">
        <f>H25+H26</f>
        <v>1000</v>
      </c>
    </row>
    <row r="25" spans="1:8" s="87" customFormat="1">
      <c r="A25" s="241" t="s">
        <v>119</v>
      </c>
      <c r="B25" s="241"/>
      <c r="C25" s="107" t="s">
        <v>120</v>
      </c>
      <c r="D25" s="107"/>
      <c r="E25" s="108" t="s">
        <v>121</v>
      </c>
      <c r="F25" s="109">
        <v>1000</v>
      </c>
      <c r="G25" s="97">
        <v>1000</v>
      </c>
      <c r="H25" s="184">
        <v>1000</v>
      </c>
    </row>
    <row r="26" spans="1:8" s="87" customFormat="1">
      <c r="A26" s="242"/>
      <c r="B26" s="242"/>
      <c r="C26" s="107" t="s">
        <v>122</v>
      </c>
      <c r="D26" s="107"/>
      <c r="E26" s="108" t="s">
        <v>123</v>
      </c>
      <c r="F26" s="109">
        <v>0</v>
      </c>
      <c r="G26" s="97">
        <v>0</v>
      </c>
      <c r="H26" s="184">
        <v>0</v>
      </c>
    </row>
    <row r="27" spans="1:8" s="87" customFormat="1">
      <c r="A27" s="243"/>
      <c r="B27" s="243"/>
      <c r="C27" s="111"/>
      <c r="D27" s="111"/>
      <c r="E27" s="112"/>
      <c r="F27" s="113"/>
      <c r="G27" s="197"/>
      <c r="H27" s="187"/>
    </row>
    <row r="28" spans="1:8" s="87" customFormat="1" ht="26.4">
      <c r="A28" s="240"/>
      <c r="B28" s="240"/>
      <c r="C28" s="104" t="s">
        <v>124</v>
      </c>
      <c r="D28" s="104"/>
      <c r="E28" s="105" t="s">
        <v>125</v>
      </c>
      <c r="F28" s="106">
        <f>F29</f>
        <v>0</v>
      </c>
      <c r="G28" s="196">
        <f>G29</f>
        <v>0</v>
      </c>
      <c r="H28" s="188">
        <f>H29</f>
        <v>0</v>
      </c>
    </row>
    <row r="29" spans="1:8" s="87" customFormat="1" ht="26.4">
      <c r="A29" s="242"/>
      <c r="B29" s="242"/>
      <c r="C29" s="107" t="s">
        <v>126</v>
      </c>
      <c r="D29" s="107"/>
      <c r="E29" s="108" t="s">
        <v>127</v>
      </c>
      <c r="F29" s="109">
        <v>0</v>
      </c>
      <c r="G29" s="97">
        <v>0</v>
      </c>
      <c r="H29" s="184">
        <v>0</v>
      </c>
    </row>
    <row r="30" spans="1:8" s="87" customFormat="1">
      <c r="A30" s="243"/>
      <c r="B30" s="243"/>
      <c r="C30" s="111"/>
      <c r="D30" s="111"/>
      <c r="E30" s="112"/>
      <c r="F30" s="113"/>
      <c r="G30" s="197"/>
      <c r="H30" s="187"/>
    </row>
    <row r="31" spans="1:8" s="87" customFormat="1">
      <c r="A31" s="240"/>
      <c r="B31" s="240"/>
      <c r="C31" s="104" t="s">
        <v>128</v>
      </c>
      <c r="D31" s="104"/>
      <c r="E31" s="105" t="s">
        <v>129</v>
      </c>
      <c r="F31" s="106">
        <f>F32</f>
        <v>500</v>
      </c>
      <c r="G31" s="196">
        <f>G32</f>
        <v>500</v>
      </c>
      <c r="H31" s="188">
        <f>H32</f>
        <v>500</v>
      </c>
    </row>
    <row r="32" spans="1:8" s="87" customFormat="1">
      <c r="A32" s="242"/>
      <c r="B32" s="242"/>
      <c r="C32" s="107" t="s">
        <v>130</v>
      </c>
      <c r="D32" s="107"/>
      <c r="E32" s="108" t="s">
        <v>131</v>
      </c>
      <c r="F32" s="109">
        <v>500</v>
      </c>
      <c r="G32" s="97">
        <v>500</v>
      </c>
      <c r="H32" s="184">
        <v>500</v>
      </c>
    </row>
    <row r="33" spans="1:11" s="87" customFormat="1">
      <c r="A33" s="243"/>
      <c r="B33" s="243"/>
      <c r="C33" s="111"/>
      <c r="D33" s="111"/>
      <c r="E33" s="112"/>
      <c r="F33" s="113"/>
      <c r="G33" s="197"/>
      <c r="H33" s="187"/>
    </row>
    <row r="34" spans="1:11" s="87" customFormat="1">
      <c r="A34" s="240"/>
      <c r="B34" s="240"/>
      <c r="C34" s="104" t="s">
        <v>132</v>
      </c>
      <c r="D34" s="104"/>
      <c r="E34" s="105" t="s">
        <v>133</v>
      </c>
      <c r="F34" s="106">
        <f>F35+F36</f>
        <v>262550.18</v>
      </c>
      <c r="G34" s="196">
        <f>G35+G36</f>
        <v>219937</v>
      </c>
      <c r="H34" s="188">
        <f>H35+H36</f>
        <v>206162</v>
      </c>
    </row>
    <row r="35" spans="1:11" s="87" customFormat="1">
      <c r="A35" s="242"/>
      <c r="B35" s="242"/>
      <c r="C35" s="107" t="s">
        <v>134</v>
      </c>
      <c r="D35" s="107"/>
      <c r="E35" s="108" t="s">
        <v>135</v>
      </c>
      <c r="F35" s="109">
        <f>177801.37-9734-5000+6270.65+75368.16</f>
        <v>244706.18</v>
      </c>
      <c r="G35" s="97">
        <f>203934-9734-6000</f>
        <v>188200</v>
      </c>
      <c r="H35" s="184">
        <f>204734-9734-6000</f>
        <v>189000</v>
      </c>
      <c r="J35" s="87" t="s">
        <v>94</v>
      </c>
      <c r="K35" s="212" t="s">
        <v>94</v>
      </c>
    </row>
    <row r="36" spans="1:11" s="87" customFormat="1">
      <c r="A36" s="242"/>
      <c r="B36" s="242"/>
      <c r="C36" s="107" t="s">
        <v>136</v>
      </c>
      <c r="D36" s="107"/>
      <c r="E36" s="108" t="s">
        <v>137</v>
      </c>
      <c r="F36" s="109">
        <f>1860+1250+9734+5000</f>
        <v>17844</v>
      </c>
      <c r="G36" s="97">
        <f>16003+9734+6000</f>
        <v>31737</v>
      </c>
      <c r="H36" s="184">
        <f>1428+9734+6000</f>
        <v>17162</v>
      </c>
    </row>
    <row r="37" spans="1:11" s="87" customFormat="1">
      <c r="A37" s="243"/>
      <c r="B37" s="243"/>
      <c r="C37" s="111"/>
      <c r="D37" s="111"/>
      <c r="E37" s="112"/>
      <c r="F37" s="113"/>
      <c r="G37" s="197"/>
      <c r="H37" s="187"/>
    </row>
    <row r="38" spans="1:11" s="87" customFormat="1">
      <c r="A38" s="242"/>
      <c r="B38" s="242"/>
      <c r="C38" s="114" t="s">
        <v>119</v>
      </c>
      <c r="D38" s="114"/>
      <c r="E38" s="115" t="s">
        <v>138</v>
      </c>
      <c r="F38" s="116">
        <f>F34+F31+F28+F24</f>
        <v>264050.18</v>
      </c>
      <c r="G38" s="198">
        <f>G34+G31+G28+G24</f>
        <v>221437</v>
      </c>
      <c r="H38" s="189">
        <f>H34+H31+H28+H24</f>
        <v>207662</v>
      </c>
    </row>
    <row r="39" spans="1:11" s="87" customFormat="1">
      <c r="A39" s="242"/>
      <c r="B39" s="242"/>
      <c r="E39" s="117"/>
      <c r="F39" s="118"/>
      <c r="G39" s="199"/>
      <c r="H39" s="183"/>
    </row>
    <row r="40" spans="1:11" s="87" customFormat="1">
      <c r="A40" s="240"/>
      <c r="B40" s="240"/>
      <c r="C40" s="98"/>
      <c r="D40" s="98"/>
      <c r="E40" s="99" t="s">
        <v>139</v>
      </c>
      <c r="F40" s="100"/>
      <c r="G40" s="194"/>
      <c r="H40" s="185"/>
    </row>
    <row r="41" spans="1:11" s="87" customFormat="1">
      <c r="A41" s="240"/>
      <c r="B41" s="240"/>
      <c r="C41" s="101"/>
      <c r="D41" s="101"/>
      <c r="E41" s="102"/>
      <c r="F41" s="103"/>
      <c r="G41" s="195"/>
      <c r="H41" s="186"/>
    </row>
    <row r="42" spans="1:11" s="87" customFormat="1">
      <c r="A42" s="240"/>
      <c r="B42" s="240"/>
      <c r="C42" s="104" t="s">
        <v>140</v>
      </c>
      <c r="D42" s="104"/>
      <c r="E42" s="105" t="s">
        <v>141</v>
      </c>
      <c r="F42" s="106">
        <f>F43</f>
        <v>702956</v>
      </c>
      <c r="G42" s="196">
        <f>G43</f>
        <v>554656</v>
      </c>
      <c r="H42" s="188">
        <f>H43</f>
        <v>554156</v>
      </c>
    </row>
    <row r="43" spans="1:11" s="87" customFormat="1">
      <c r="A43" s="241" t="s">
        <v>142</v>
      </c>
      <c r="B43" s="241"/>
      <c r="C43" s="107" t="s">
        <v>143</v>
      </c>
      <c r="D43" s="107"/>
      <c r="E43" s="108" t="s">
        <v>144</v>
      </c>
      <c r="F43" s="109">
        <v>702956</v>
      </c>
      <c r="G43" s="97">
        <v>554656</v>
      </c>
      <c r="H43" s="184">
        <v>554156</v>
      </c>
    </row>
    <row r="44" spans="1:11" s="87" customFormat="1">
      <c r="A44" s="243"/>
      <c r="B44" s="243"/>
      <c r="C44" s="111"/>
      <c r="D44" s="111"/>
      <c r="E44" s="112"/>
      <c r="F44" s="113"/>
      <c r="G44" s="197"/>
      <c r="H44" s="187"/>
    </row>
    <row r="45" spans="1:11" s="87" customFormat="1">
      <c r="A45" s="240"/>
      <c r="B45" s="240"/>
      <c r="C45" s="104" t="s">
        <v>145</v>
      </c>
      <c r="D45" s="104"/>
      <c r="E45" s="105" t="s">
        <v>146</v>
      </c>
      <c r="F45" s="106">
        <f>F46</f>
        <v>0</v>
      </c>
      <c r="G45" s="196">
        <f>G46</f>
        <v>0</v>
      </c>
      <c r="H45" s="188">
        <f>H46</f>
        <v>0</v>
      </c>
    </row>
    <row r="46" spans="1:11" s="87" customFormat="1">
      <c r="A46" s="242"/>
      <c r="B46" s="242"/>
      <c r="C46" s="107" t="s">
        <v>147</v>
      </c>
      <c r="D46" s="107"/>
      <c r="E46" s="108" t="s">
        <v>148</v>
      </c>
      <c r="F46" s="109">
        <v>0</v>
      </c>
      <c r="G46" s="97">
        <v>0</v>
      </c>
      <c r="H46" s="184">
        <v>0</v>
      </c>
    </row>
    <row r="47" spans="1:11" s="87" customFormat="1">
      <c r="A47" s="243"/>
      <c r="B47" s="243"/>
      <c r="C47" s="111"/>
      <c r="D47" s="111"/>
      <c r="E47" s="112"/>
      <c r="F47" s="113"/>
      <c r="G47" s="197"/>
      <c r="H47" s="187"/>
    </row>
    <row r="48" spans="1:11" s="87" customFormat="1">
      <c r="A48" s="240"/>
      <c r="B48" s="240"/>
      <c r="C48" s="104" t="s">
        <v>149</v>
      </c>
      <c r="D48" s="104"/>
      <c r="E48" s="105" t="s">
        <v>150</v>
      </c>
      <c r="F48" s="106">
        <f>F49+F49+F50</f>
        <v>0</v>
      </c>
      <c r="G48" s="196">
        <f>G49+G49+G50</f>
        <v>55000</v>
      </c>
      <c r="H48" s="188">
        <f>H49+H49+H50</f>
        <v>0</v>
      </c>
    </row>
    <row r="49" spans="1:8" s="87" customFormat="1" ht="26.4">
      <c r="A49" s="242"/>
      <c r="B49" s="242"/>
      <c r="C49" s="107" t="s">
        <v>151</v>
      </c>
      <c r="D49" s="107"/>
      <c r="E49" s="108" t="s">
        <v>152</v>
      </c>
      <c r="F49" s="109">
        <v>0</v>
      </c>
      <c r="G49" s="97">
        <v>0</v>
      </c>
      <c r="H49" s="184">
        <v>0</v>
      </c>
    </row>
    <row r="50" spans="1:8" s="87" customFormat="1">
      <c r="A50" s="242"/>
      <c r="B50" s="242"/>
      <c r="C50" s="107" t="s">
        <v>153</v>
      </c>
      <c r="D50" s="107"/>
      <c r="E50" s="108" t="s">
        <v>154</v>
      </c>
      <c r="F50" s="109">
        <v>0</v>
      </c>
      <c r="G50" s="97">
        <v>55000</v>
      </c>
      <c r="H50" s="184">
        <v>0</v>
      </c>
    </row>
    <row r="51" spans="1:8" s="87" customFormat="1">
      <c r="A51" s="243"/>
      <c r="B51" s="243"/>
      <c r="C51" s="111"/>
      <c r="D51" s="111"/>
      <c r="E51" s="112"/>
      <c r="F51" s="113"/>
      <c r="G51" s="197"/>
      <c r="H51" s="187"/>
    </row>
    <row r="52" spans="1:8" s="87" customFormat="1">
      <c r="A52" s="242"/>
      <c r="B52" s="242"/>
      <c r="C52" s="114" t="s">
        <v>142</v>
      </c>
      <c r="D52" s="114"/>
      <c r="E52" s="115" t="s">
        <v>155</v>
      </c>
      <c r="F52" s="116">
        <f>F48+F45+F42</f>
        <v>702956</v>
      </c>
      <c r="G52" s="198">
        <f>G48+G45+G42</f>
        <v>609656</v>
      </c>
      <c r="H52" s="189">
        <f>H48+H45+H42</f>
        <v>554156</v>
      </c>
    </row>
    <row r="53" spans="1:8" s="87" customFormat="1">
      <c r="A53" s="242"/>
      <c r="B53" s="242"/>
      <c r="E53" s="117"/>
      <c r="F53" s="118"/>
      <c r="G53" s="199"/>
      <c r="H53" s="183"/>
    </row>
    <row r="54" spans="1:8" s="87" customFormat="1">
      <c r="A54" s="240"/>
      <c r="B54" s="240"/>
      <c r="C54" s="98"/>
      <c r="D54" s="98"/>
      <c r="E54" s="99" t="s">
        <v>156</v>
      </c>
      <c r="F54" s="100"/>
      <c r="G54" s="194"/>
      <c r="H54" s="185"/>
    </row>
    <row r="55" spans="1:8" s="87" customFormat="1">
      <c r="A55" s="240"/>
      <c r="B55" s="240"/>
      <c r="C55" s="101"/>
      <c r="D55" s="101"/>
      <c r="E55" s="102"/>
      <c r="F55" s="103"/>
      <c r="G55" s="195"/>
      <c r="H55" s="186"/>
    </row>
    <row r="56" spans="1:8" s="87" customFormat="1">
      <c r="A56" s="240"/>
      <c r="B56" s="240"/>
      <c r="C56" s="104" t="s">
        <v>157</v>
      </c>
      <c r="D56" s="104"/>
      <c r="E56" s="105" t="s">
        <v>158</v>
      </c>
      <c r="F56" s="106">
        <f>F57+F58+F59+F60</f>
        <v>4792300</v>
      </c>
      <c r="G56" s="196">
        <f>G57+G58+G59+G60</f>
        <v>4796250</v>
      </c>
      <c r="H56" s="188">
        <f>H57+H58+H59+H60</f>
        <v>4796250</v>
      </c>
    </row>
    <row r="57" spans="1:8" s="87" customFormat="1">
      <c r="A57" s="241" t="s">
        <v>159</v>
      </c>
      <c r="B57" s="241"/>
      <c r="C57" s="107" t="s">
        <v>160</v>
      </c>
      <c r="D57" s="107"/>
      <c r="E57" s="108" t="s">
        <v>161</v>
      </c>
      <c r="F57" s="109">
        <v>1843800</v>
      </c>
      <c r="G57" s="97">
        <v>1842750</v>
      </c>
      <c r="H57" s="184">
        <v>1842750</v>
      </c>
    </row>
    <row r="58" spans="1:8" s="87" customFormat="1">
      <c r="A58" s="242"/>
      <c r="B58" s="242"/>
      <c r="C58" s="107" t="s">
        <v>162</v>
      </c>
      <c r="D58" s="107"/>
      <c r="E58" s="108" t="s">
        <v>163</v>
      </c>
      <c r="F58" s="109">
        <f>2871000</f>
        <v>2871000</v>
      </c>
      <c r="G58" s="97">
        <v>2876000</v>
      </c>
      <c r="H58" s="184">
        <v>2876000</v>
      </c>
    </row>
    <row r="59" spans="1:8" s="87" customFormat="1">
      <c r="A59" s="242"/>
      <c r="B59" s="242"/>
      <c r="C59" s="107" t="s">
        <v>164</v>
      </c>
      <c r="D59" s="107"/>
      <c r="E59" s="108" t="s">
        <v>165</v>
      </c>
      <c r="F59" s="109">
        <v>31500</v>
      </c>
      <c r="G59" s="97">
        <v>31500</v>
      </c>
      <c r="H59" s="184">
        <v>31500</v>
      </c>
    </row>
    <row r="60" spans="1:8" s="87" customFormat="1">
      <c r="A60" s="242"/>
      <c r="B60" s="242"/>
      <c r="C60" s="107" t="s">
        <v>166</v>
      </c>
      <c r="D60" s="107"/>
      <c r="E60" s="108" t="s">
        <v>167</v>
      </c>
      <c r="F60" s="109">
        <v>46000</v>
      </c>
      <c r="G60" s="97">
        <v>46000</v>
      </c>
      <c r="H60" s="184">
        <v>46000</v>
      </c>
    </row>
    <row r="61" spans="1:8" s="87" customFormat="1">
      <c r="A61" s="243"/>
      <c r="B61" s="243"/>
      <c r="C61" s="111"/>
      <c r="D61" s="111"/>
      <c r="E61" s="112"/>
      <c r="F61" s="113"/>
      <c r="G61" s="197"/>
      <c r="H61" s="187"/>
    </row>
    <row r="62" spans="1:8" s="87" customFormat="1">
      <c r="A62" s="240"/>
      <c r="B62" s="240"/>
      <c r="C62" s="104" t="s">
        <v>168</v>
      </c>
      <c r="D62" s="104"/>
      <c r="E62" s="105" t="s">
        <v>169</v>
      </c>
      <c r="F62" s="106">
        <f>F63</f>
        <v>7000</v>
      </c>
      <c r="G62" s="196">
        <f>G63</f>
        <v>2000</v>
      </c>
      <c r="H62" s="188">
        <f>H63</f>
        <v>2000</v>
      </c>
    </row>
    <row r="63" spans="1:8" s="87" customFormat="1">
      <c r="A63" s="242"/>
      <c r="B63" s="242"/>
      <c r="C63" s="107" t="s">
        <v>170</v>
      </c>
      <c r="D63" s="107"/>
      <c r="E63" s="108" t="s">
        <v>171</v>
      </c>
      <c r="F63" s="109">
        <v>7000</v>
      </c>
      <c r="G63" s="97">
        <v>2000</v>
      </c>
      <c r="H63" s="184">
        <v>2000</v>
      </c>
    </row>
    <row r="64" spans="1:8" s="87" customFormat="1">
      <c r="A64" s="243"/>
      <c r="B64" s="243"/>
      <c r="C64" s="111"/>
      <c r="D64" s="111"/>
      <c r="E64" s="112"/>
      <c r="F64" s="113"/>
      <c r="G64" s="197"/>
      <c r="H64" s="187"/>
    </row>
    <row r="65" spans="1:9" s="87" customFormat="1">
      <c r="A65" s="242"/>
      <c r="B65" s="242"/>
      <c r="C65" s="114" t="s">
        <v>159</v>
      </c>
      <c r="D65" s="114"/>
      <c r="E65" s="115" t="s">
        <v>172</v>
      </c>
      <c r="F65" s="116">
        <f>F62+F56</f>
        <v>4799300</v>
      </c>
      <c r="G65" s="198">
        <f>G62+G56</f>
        <v>4798250</v>
      </c>
      <c r="H65" s="189">
        <f>H62+H56</f>
        <v>4798250</v>
      </c>
    </row>
    <row r="66" spans="1:9" s="87" customFormat="1">
      <c r="A66" s="242"/>
      <c r="B66" s="242"/>
      <c r="E66" s="117"/>
      <c r="F66" s="118"/>
      <c r="G66" s="199"/>
      <c r="H66" s="183"/>
    </row>
    <row r="67" spans="1:9" s="87" customFormat="1">
      <c r="A67" s="243"/>
      <c r="B67" s="243"/>
      <c r="C67" s="119"/>
      <c r="D67" s="119"/>
      <c r="E67" s="120" t="s">
        <v>173</v>
      </c>
      <c r="F67" s="121">
        <f>F65+F52+F38+F20</f>
        <v>30224483.93</v>
      </c>
      <c r="G67" s="200">
        <f>G65+G52+G38+G20</f>
        <v>28220588.080000002</v>
      </c>
      <c r="H67" s="190">
        <f>H65+H52+H38+H20</f>
        <v>28006180</v>
      </c>
    </row>
    <row r="68" spans="1:9" s="87" customFormat="1">
      <c r="A68" s="243"/>
      <c r="B68" s="243"/>
      <c r="C68" s="122"/>
      <c r="D68" s="122"/>
      <c r="E68" s="123"/>
      <c r="F68" s="124"/>
      <c r="G68" s="201"/>
      <c r="H68" s="187"/>
    </row>
    <row r="69" spans="1:9" s="87" customFormat="1">
      <c r="A69" s="243"/>
      <c r="B69" s="243"/>
      <c r="C69" s="119"/>
      <c r="D69" s="119"/>
      <c r="E69" s="120" t="s">
        <v>174</v>
      </c>
      <c r="F69" s="125">
        <f>F67+F8+F7+F6</f>
        <v>36641873.780000001</v>
      </c>
      <c r="G69" s="202">
        <f>G67+G8+G7+G6</f>
        <v>28404311.500000004</v>
      </c>
      <c r="H69" s="191">
        <f>H67+H8+H7+H6</f>
        <v>28006180</v>
      </c>
    </row>
    <row r="71" spans="1:9">
      <c r="F71" s="127"/>
      <c r="G71" s="127"/>
      <c r="H71" s="127"/>
    </row>
    <row r="74" spans="1:9">
      <c r="F74" s="127"/>
      <c r="G74" s="127"/>
      <c r="H74" s="127"/>
      <c r="I74" s="127"/>
    </row>
    <row r="75" spans="1:9">
      <c r="F75" s="127"/>
      <c r="G75" s="127"/>
      <c r="H75" s="127"/>
      <c r="I75" s="127"/>
    </row>
    <row r="76" spans="1:9">
      <c r="F76" s="127"/>
      <c r="G76" s="127"/>
      <c r="H76" s="127"/>
      <c r="I76" s="127"/>
    </row>
    <row r="77" spans="1:9">
      <c r="F77" s="127"/>
      <c r="G77" s="127"/>
      <c r="H77" s="127"/>
      <c r="I77" s="127"/>
    </row>
    <row r="78" spans="1:9">
      <c r="F78" s="127"/>
      <c r="G78" s="127"/>
      <c r="H78" s="127"/>
      <c r="I78" s="127"/>
    </row>
    <row r="79" spans="1:9">
      <c r="F79" s="127"/>
      <c r="G79" s="127"/>
      <c r="H79" s="127"/>
      <c r="I79" s="127"/>
    </row>
    <row r="80" spans="1:9">
      <c r="F80" s="127"/>
      <c r="G80" s="127"/>
      <c r="H80" s="127"/>
      <c r="I80" s="127"/>
    </row>
    <row r="81" spans="6:9">
      <c r="F81" s="127"/>
      <c r="G81" s="127"/>
      <c r="H81" s="127"/>
      <c r="I81" s="127"/>
    </row>
  </sheetData>
  <mergeCells count="63">
    <mergeCell ref="C2:H2"/>
    <mergeCell ref="A68:B68"/>
    <mergeCell ref="A69:B69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C6:C8"/>
    <mergeCell ref="D6:D8"/>
    <mergeCell ref="A10:B10"/>
    <mergeCell ref="A11:B11"/>
    <mergeCell ref="A12:B12"/>
    <mergeCell ref="A13:B13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3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C21" sqref="C21"/>
    </sheetView>
  </sheetViews>
  <sheetFormatPr defaultRowHeight="13.2"/>
  <cols>
    <col min="1" max="1" width="3" customWidth="1"/>
    <col min="2" max="2" width="3.5546875" customWidth="1"/>
    <col min="3" max="3" width="40.5546875" customWidth="1"/>
    <col min="4" max="6" width="15.5546875" customWidth="1"/>
    <col min="7" max="7" width="40.109375" customWidth="1"/>
  </cols>
  <sheetData>
    <row r="1" spans="1:7" s="129" customFormat="1" ht="63" customHeight="1">
      <c r="A1" s="176" t="s">
        <v>94</v>
      </c>
      <c r="B1" s="267" t="s">
        <v>218</v>
      </c>
      <c r="C1" s="268"/>
      <c r="D1" s="268"/>
      <c r="E1" s="268"/>
      <c r="F1" s="268"/>
      <c r="G1" s="175"/>
    </row>
    <row r="2" spans="1:7" s="129" customFormat="1" ht="15" customHeight="1"/>
    <row r="3" spans="1:7" s="156" customFormat="1" ht="33" customHeight="1">
      <c r="B3" s="265" t="s">
        <v>0</v>
      </c>
      <c r="C3" s="265"/>
      <c r="D3" s="174" t="s">
        <v>205</v>
      </c>
      <c r="E3" s="174" t="s">
        <v>207</v>
      </c>
      <c r="F3" s="173" t="s">
        <v>8</v>
      </c>
    </row>
    <row r="4" spans="1:7" s="156" customFormat="1" ht="18.75" customHeight="1">
      <c r="B4" s="265"/>
      <c r="C4" s="265"/>
      <c r="D4" s="173" t="s">
        <v>214</v>
      </c>
      <c r="E4" s="173" t="s">
        <v>213</v>
      </c>
      <c r="F4" s="173" t="s">
        <v>43</v>
      </c>
    </row>
    <row r="5" spans="1:7" s="156" customFormat="1" ht="11.25" customHeight="1">
      <c r="B5" s="172"/>
      <c r="C5" s="172"/>
      <c r="D5" s="171" t="s">
        <v>205</v>
      </c>
      <c r="E5" s="171" t="s">
        <v>207</v>
      </c>
      <c r="F5" s="170"/>
    </row>
    <row r="6" spans="1:7" s="156" customFormat="1" ht="18.75" customHeight="1">
      <c r="B6" s="169" t="s">
        <v>216</v>
      </c>
      <c r="C6" s="168" t="s">
        <v>215</v>
      </c>
      <c r="D6" s="167" t="s">
        <v>214</v>
      </c>
      <c r="E6" s="167" t="s">
        <v>213</v>
      </c>
      <c r="F6" s="166"/>
    </row>
    <row r="7" spans="1:7" s="156" customFormat="1" ht="18.75" customHeight="1">
      <c r="B7" s="165" t="s">
        <v>17</v>
      </c>
      <c r="C7" s="164" t="s">
        <v>212</v>
      </c>
      <c r="D7" s="163">
        <v>4796250</v>
      </c>
      <c r="E7" s="163">
        <v>2000</v>
      </c>
      <c r="F7" s="163">
        <v>4798250</v>
      </c>
    </row>
    <row r="8" spans="1:7" s="156" customFormat="1" ht="18.75" customHeight="1">
      <c r="B8" s="177"/>
      <c r="C8" s="161" t="s">
        <v>211</v>
      </c>
      <c r="D8" s="160">
        <f>SUM(D7)</f>
        <v>4796250</v>
      </c>
      <c r="E8" s="160">
        <f>SUM(E7)</f>
        <v>2000</v>
      </c>
      <c r="F8" s="160">
        <f>SUM(F7)</f>
        <v>4798250</v>
      </c>
    </row>
    <row r="9" spans="1:7" s="156" customFormat="1" ht="18" customHeight="1"/>
    <row r="10" spans="1:7" s="156" customFormat="1" ht="18.75" hidden="1" customHeight="1">
      <c r="B10" s="159"/>
      <c r="C10" s="159"/>
      <c r="D10" s="158"/>
      <c r="E10" s="158"/>
      <c r="F10" s="158"/>
    </row>
    <row r="11" spans="1:7" s="156" customFormat="1" ht="18.75" customHeight="1">
      <c r="B11" s="266" t="s">
        <v>79</v>
      </c>
      <c r="C11" s="266"/>
      <c r="D11" s="157">
        <f>D8</f>
        <v>4796250</v>
      </c>
      <c r="E11" s="157">
        <f>E8</f>
        <v>2000</v>
      </c>
      <c r="F11" s="157">
        <f>F8</f>
        <v>4798250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C21" sqref="C21"/>
    </sheetView>
  </sheetViews>
  <sheetFormatPr defaultRowHeight="13.2"/>
  <cols>
    <col min="1" max="1" width="3" customWidth="1"/>
    <col min="2" max="2" width="3.5546875" customWidth="1"/>
    <col min="3" max="3" width="40.5546875" customWidth="1"/>
    <col min="4" max="6" width="15.5546875" customWidth="1"/>
    <col min="7" max="7" width="40.109375" customWidth="1"/>
  </cols>
  <sheetData>
    <row r="1" spans="1:7" s="129" customFormat="1" ht="63" customHeight="1">
      <c r="A1" s="176" t="s">
        <v>94</v>
      </c>
      <c r="B1" s="267" t="s">
        <v>219</v>
      </c>
      <c r="C1" s="268"/>
      <c r="D1" s="268"/>
      <c r="E1" s="268"/>
      <c r="F1" s="268"/>
      <c r="G1" s="175"/>
    </row>
    <row r="2" spans="1:7" s="129" customFormat="1" ht="15" customHeight="1"/>
    <row r="3" spans="1:7" s="156" customFormat="1" ht="37.5" customHeight="1">
      <c r="B3" s="265" t="s">
        <v>0</v>
      </c>
      <c r="C3" s="265"/>
      <c r="D3" s="174" t="s">
        <v>205</v>
      </c>
      <c r="E3" s="174" t="s">
        <v>207</v>
      </c>
      <c r="F3" s="173" t="s">
        <v>8</v>
      </c>
    </row>
    <row r="4" spans="1:7" s="156" customFormat="1" ht="18" customHeight="1">
      <c r="B4" s="265"/>
      <c r="C4" s="265"/>
      <c r="D4" s="173" t="s">
        <v>214</v>
      </c>
      <c r="E4" s="173" t="s">
        <v>213</v>
      </c>
      <c r="F4" s="173" t="s">
        <v>43</v>
      </c>
    </row>
    <row r="5" spans="1:7" s="156" customFormat="1" ht="3" customHeight="1">
      <c r="B5" s="172"/>
      <c r="C5" s="172"/>
      <c r="D5" s="171" t="s">
        <v>205</v>
      </c>
      <c r="E5" s="171" t="s">
        <v>207</v>
      </c>
      <c r="F5" s="170"/>
    </row>
    <row r="6" spans="1:7" s="156" customFormat="1" ht="24.75" customHeight="1">
      <c r="B6" s="169" t="s">
        <v>216</v>
      </c>
      <c r="C6" s="168" t="s">
        <v>215</v>
      </c>
      <c r="D6" s="167" t="s">
        <v>214</v>
      </c>
      <c r="E6" s="167" t="s">
        <v>213</v>
      </c>
      <c r="F6" s="166"/>
    </row>
    <row r="7" spans="1:7" s="156" customFormat="1" ht="24.75" customHeight="1">
      <c r="B7" s="165" t="s">
        <v>17</v>
      </c>
      <c r="C7" s="164" t="s">
        <v>212</v>
      </c>
      <c r="D7" s="163">
        <v>4796250</v>
      </c>
      <c r="E7" s="163">
        <v>2000</v>
      </c>
      <c r="F7" s="163">
        <v>4798250</v>
      </c>
    </row>
    <row r="8" spans="1:7" s="156" customFormat="1" ht="24.75" customHeight="1">
      <c r="B8" s="177"/>
      <c r="C8" s="161" t="s">
        <v>211</v>
      </c>
      <c r="D8" s="160">
        <f>SUM(D7)</f>
        <v>4796250</v>
      </c>
      <c r="E8" s="160">
        <f>SUM(E7)</f>
        <v>2000</v>
      </c>
      <c r="F8" s="160">
        <f>SUM(F7)</f>
        <v>4798250</v>
      </c>
    </row>
    <row r="9" spans="1:7" s="156" customFormat="1" ht="10.199999999999999"/>
    <row r="10" spans="1:7" s="156" customFormat="1" ht="10.199999999999999">
      <c r="B10" s="159"/>
      <c r="C10" s="159"/>
      <c r="D10" s="158"/>
      <c r="E10" s="158"/>
      <c r="F10" s="158"/>
    </row>
    <row r="11" spans="1:7" s="156" customFormat="1" ht="10.199999999999999">
      <c r="B11" s="266" t="s">
        <v>79</v>
      </c>
      <c r="C11" s="266"/>
      <c r="D11" s="157">
        <f>D8</f>
        <v>4796250</v>
      </c>
      <c r="E11" s="157">
        <f>E8</f>
        <v>2000</v>
      </c>
      <c r="F11" s="157">
        <f>F8</f>
        <v>4798250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41"/>
  <sheetViews>
    <sheetView tabSelected="1" zoomScaleNormal="100" workbookViewId="0">
      <selection activeCell="N24" sqref="N24"/>
    </sheetView>
  </sheetViews>
  <sheetFormatPr defaultRowHeight="13.2"/>
  <cols>
    <col min="1" max="1" width="0.33203125" customWidth="1"/>
    <col min="2" max="2" width="6.44140625" customWidth="1"/>
    <col min="3" max="3" width="47.33203125" customWidth="1"/>
    <col min="4" max="5" width="22.109375" customWidth="1"/>
    <col min="6" max="6" width="20.6640625" customWidth="1"/>
    <col min="8" max="8" width="12.6640625" bestFit="1" customWidth="1"/>
    <col min="9" max="9" width="13" customWidth="1"/>
    <col min="10" max="10" width="14.109375" bestFit="1" customWidth="1"/>
    <col min="11" max="11" width="14" bestFit="1" customWidth="1"/>
    <col min="12" max="12" width="13" bestFit="1" customWidth="1"/>
    <col min="13" max="13" width="11.44140625" bestFit="1" customWidth="1"/>
    <col min="14" max="14" width="12.88671875" bestFit="1" customWidth="1"/>
    <col min="15" max="15" width="14" bestFit="1" customWidth="1"/>
    <col min="16" max="16" width="12.6640625" bestFit="1" customWidth="1"/>
  </cols>
  <sheetData>
    <row r="1" spans="1:27" s="129" customFormat="1" ht="25.5" customHeight="1">
      <c r="B1" s="247" t="s">
        <v>175</v>
      </c>
      <c r="C1" s="247"/>
      <c r="D1" s="247"/>
      <c r="E1" s="247"/>
      <c r="F1" s="247"/>
    </row>
    <row r="2" spans="1:27" s="129" customFormat="1" ht="15" customHeight="1"/>
    <row r="3" spans="1:27" s="129" customFormat="1" ht="18" customHeight="1">
      <c r="A3" s="130"/>
      <c r="B3" s="248" t="s">
        <v>176</v>
      </c>
      <c r="C3" s="248"/>
      <c r="D3" s="131" t="s">
        <v>177</v>
      </c>
      <c r="E3" s="131" t="s">
        <v>178</v>
      </c>
      <c r="F3" s="131" t="s">
        <v>179</v>
      </c>
    </row>
    <row r="4" spans="1:27" s="129" customFormat="1" ht="18" customHeight="1">
      <c r="A4" s="130"/>
      <c r="B4" s="248"/>
      <c r="C4" s="248"/>
      <c r="D4" s="131" t="s">
        <v>8</v>
      </c>
      <c r="E4" s="131" t="s">
        <v>8</v>
      </c>
      <c r="F4" s="131" t="s">
        <v>8</v>
      </c>
    </row>
    <row r="5" spans="1:27" s="129" customFormat="1" ht="3" customHeight="1">
      <c r="A5" s="132"/>
      <c r="B5" s="245"/>
      <c r="C5" s="245"/>
      <c r="D5" s="132"/>
      <c r="E5" s="132"/>
      <c r="F5" s="178"/>
    </row>
    <row r="6" spans="1:27" s="129" customFormat="1" ht="7.5" customHeight="1">
      <c r="F6" s="179"/>
      <c r="H6" s="213" t="s">
        <v>94</v>
      </c>
    </row>
    <row r="7" spans="1:27" s="129" customFormat="1" ht="18" customHeight="1">
      <c r="A7" s="130"/>
      <c r="B7" s="133"/>
      <c r="C7" s="134" t="s">
        <v>180</v>
      </c>
      <c r="D7" s="135">
        <v>0</v>
      </c>
      <c r="E7" s="135">
        <v>0</v>
      </c>
      <c r="F7" s="150">
        <v>0</v>
      </c>
    </row>
    <row r="8" spans="1:27" s="129" customFormat="1" ht="3" customHeight="1">
      <c r="A8" s="132"/>
      <c r="B8" s="245"/>
      <c r="C8" s="245"/>
      <c r="D8" s="132"/>
      <c r="E8" s="132"/>
      <c r="F8" s="178"/>
    </row>
    <row r="9" spans="1:27" s="129" customFormat="1" ht="7.5" customHeight="1">
      <c r="F9" s="179"/>
    </row>
    <row r="10" spans="1:27" s="129" customFormat="1" ht="15" customHeight="1">
      <c r="A10" s="136" t="s">
        <v>181</v>
      </c>
      <c r="B10" s="137" t="s">
        <v>182</v>
      </c>
      <c r="C10" s="138" t="s">
        <v>183</v>
      </c>
      <c r="D10" s="137" t="s">
        <v>184</v>
      </c>
      <c r="E10" s="137" t="s">
        <v>185</v>
      </c>
      <c r="F10" s="137" t="s">
        <v>186</v>
      </c>
    </row>
    <row r="11" spans="1:27" s="129" customFormat="1" ht="15" customHeight="1">
      <c r="A11" s="139" t="s">
        <v>187</v>
      </c>
      <c r="B11" s="140" t="s">
        <v>188</v>
      </c>
      <c r="C11" s="141" t="s">
        <v>1</v>
      </c>
      <c r="D11" s="142">
        <v>251458.81</v>
      </c>
      <c r="E11" s="142">
        <v>253030</v>
      </c>
      <c r="F11" s="142">
        <v>254630</v>
      </c>
      <c r="H11" s="217" t="s">
        <v>94</v>
      </c>
      <c r="I11" s="217" t="s">
        <v>94</v>
      </c>
      <c r="J11" s="217" t="s">
        <v>94</v>
      </c>
      <c r="K11" s="217" t="s">
        <v>94</v>
      </c>
      <c r="L11" s="217" t="s">
        <v>94</v>
      </c>
      <c r="M11" s="217" t="s">
        <v>94</v>
      </c>
      <c r="N11" s="217" t="s">
        <v>94</v>
      </c>
      <c r="O11" s="217" t="s">
        <v>94</v>
      </c>
      <c r="Z11" s="210" t="s">
        <v>94</v>
      </c>
      <c r="AA11" s="210" t="s">
        <v>94</v>
      </c>
    </row>
    <row r="12" spans="1:27" s="129" customFormat="1" ht="15" customHeight="1">
      <c r="A12" s="143"/>
      <c r="B12" s="140" t="s">
        <v>189</v>
      </c>
      <c r="C12" s="141" t="s">
        <v>2</v>
      </c>
      <c r="D12" s="142">
        <v>1200719.72</v>
      </c>
      <c r="E12" s="142">
        <v>1168758.17</v>
      </c>
      <c r="F12" s="142">
        <v>1173781.05</v>
      </c>
      <c r="H12" s="218" t="s">
        <v>94</v>
      </c>
      <c r="I12" s="218" t="s">
        <v>94</v>
      </c>
      <c r="J12" s="218" t="s">
        <v>94</v>
      </c>
      <c r="K12" s="218" t="s">
        <v>94</v>
      </c>
      <c r="L12" s="218" t="s">
        <v>94</v>
      </c>
      <c r="M12" s="218" t="s">
        <v>94</v>
      </c>
      <c r="N12" s="218" t="s">
        <v>94</v>
      </c>
      <c r="O12" s="218" t="s">
        <v>94</v>
      </c>
    </row>
    <row r="13" spans="1:27" s="129" customFormat="1" ht="15" customHeight="1">
      <c r="A13" s="143"/>
      <c r="B13" s="140" t="s">
        <v>190</v>
      </c>
      <c r="C13" s="141" t="s">
        <v>3</v>
      </c>
      <c r="D13" s="142">
        <v>14240512.759999998</v>
      </c>
      <c r="E13" s="142">
        <v>12508156.25</v>
      </c>
      <c r="F13" s="142">
        <v>12424066.870000001</v>
      </c>
    </row>
    <row r="14" spans="1:27" s="129" customFormat="1" ht="15" customHeight="1">
      <c r="A14" s="143"/>
      <c r="B14" s="140" t="s">
        <v>191</v>
      </c>
      <c r="C14" s="141" t="s">
        <v>4</v>
      </c>
      <c r="D14" s="142">
        <v>10175959.23</v>
      </c>
      <c r="E14" s="142">
        <v>8509750</v>
      </c>
      <c r="F14" s="142">
        <v>8466750</v>
      </c>
      <c r="H14" s="218" t="s">
        <v>94</v>
      </c>
      <c r="I14" s="218" t="s">
        <v>94</v>
      </c>
      <c r="J14" s="218" t="s">
        <v>94</v>
      </c>
      <c r="K14" s="218" t="s">
        <v>94</v>
      </c>
      <c r="L14" s="218" t="s">
        <v>94</v>
      </c>
      <c r="M14" s="218" t="s">
        <v>94</v>
      </c>
      <c r="N14" s="218" t="s">
        <v>94</v>
      </c>
      <c r="O14" s="218" t="s">
        <v>94</v>
      </c>
    </row>
    <row r="15" spans="1:27" s="129" customFormat="1" ht="15" customHeight="1">
      <c r="A15" s="143"/>
      <c r="B15" s="140" t="s">
        <v>192</v>
      </c>
      <c r="C15" s="141" t="s">
        <v>5</v>
      </c>
      <c r="D15" s="142">
        <v>500</v>
      </c>
      <c r="E15" s="142">
        <v>500</v>
      </c>
      <c r="F15" s="142">
        <v>500</v>
      </c>
      <c r="H15" s="218" t="s">
        <v>94</v>
      </c>
      <c r="I15" s="218" t="s">
        <v>94</v>
      </c>
      <c r="J15" s="218" t="s">
        <v>94</v>
      </c>
      <c r="K15" s="218" t="s">
        <v>94</v>
      </c>
      <c r="L15" s="218" t="s">
        <v>94</v>
      </c>
      <c r="M15" s="218" t="s">
        <v>94</v>
      </c>
      <c r="N15" s="218" t="s">
        <v>94</v>
      </c>
      <c r="O15" s="218" t="s">
        <v>94</v>
      </c>
    </row>
    <row r="16" spans="1:27" s="129" customFormat="1" ht="15" customHeight="1">
      <c r="A16" s="143"/>
      <c r="B16" s="140" t="s">
        <v>193</v>
      </c>
      <c r="C16" s="141" t="s">
        <v>6</v>
      </c>
      <c r="D16" s="142">
        <v>137700.25</v>
      </c>
      <c r="E16" s="142">
        <v>141176.07</v>
      </c>
      <c r="F16" s="142">
        <v>141176.07</v>
      </c>
    </row>
    <row r="17" spans="1:10" s="129" customFormat="1" ht="15" customHeight="1">
      <c r="A17" s="143"/>
      <c r="B17" s="140" t="s">
        <v>194</v>
      </c>
      <c r="C17" s="141" t="s">
        <v>7</v>
      </c>
      <c r="D17" s="142">
        <v>4687299.32</v>
      </c>
      <c r="E17" s="142">
        <v>232035.01</v>
      </c>
      <c r="F17" s="142">
        <v>192870.01</v>
      </c>
    </row>
    <row r="18" spans="1:10" s="129" customFormat="1" ht="15" customHeight="1">
      <c r="A18" s="144" t="s">
        <v>16</v>
      </c>
      <c r="B18" s="145" t="s">
        <v>187</v>
      </c>
      <c r="C18" s="146" t="s">
        <v>195</v>
      </c>
      <c r="D18" s="147">
        <f>SUM(D11:D17)</f>
        <v>30694150.089999996</v>
      </c>
      <c r="E18" s="147">
        <f>SUM(E11:E17)</f>
        <v>22813405.500000004</v>
      </c>
      <c r="F18" s="147">
        <f>SUM(F11:F17)</f>
        <v>22653774.000000004</v>
      </c>
    </row>
    <row r="19" spans="1:10" s="129" customFormat="1" ht="7.5" customHeight="1">
      <c r="A19" s="148"/>
      <c r="B19" s="148"/>
      <c r="C19" s="148"/>
      <c r="D19" s="148"/>
      <c r="E19" s="148"/>
      <c r="F19" s="180"/>
    </row>
    <row r="20" spans="1:10" s="129" customFormat="1" ht="15" customHeight="1">
      <c r="A20" s="136" t="s">
        <v>181</v>
      </c>
      <c r="B20" s="137" t="s">
        <v>182</v>
      </c>
      <c r="C20" s="138" t="s">
        <v>196</v>
      </c>
      <c r="D20" s="137" t="s">
        <v>184</v>
      </c>
      <c r="E20" s="137" t="s">
        <v>185</v>
      </c>
      <c r="F20" s="137" t="s">
        <v>186</v>
      </c>
    </row>
    <row r="21" spans="1:10" s="129" customFormat="1" ht="15" customHeight="1">
      <c r="A21" s="139" t="s">
        <v>197</v>
      </c>
      <c r="B21" s="140" t="s">
        <v>198</v>
      </c>
      <c r="C21" s="141" t="s">
        <v>85</v>
      </c>
      <c r="D21" s="142">
        <v>1024923.6900000001</v>
      </c>
      <c r="E21" s="142">
        <f>467156+4500+183000</f>
        <v>654656</v>
      </c>
      <c r="F21" s="142">
        <v>411656</v>
      </c>
    </row>
    <row r="22" spans="1:10" s="129" customFormat="1" ht="15" customHeight="1">
      <c r="A22" s="143"/>
      <c r="B22" s="140" t="s">
        <v>199</v>
      </c>
      <c r="C22" s="141" t="s">
        <v>86</v>
      </c>
      <c r="D22" s="142">
        <v>45000</v>
      </c>
      <c r="E22" s="142">
        <v>90000</v>
      </c>
      <c r="F22" s="142">
        <v>90000</v>
      </c>
      <c r="H22" s="213" t="s">
        <v>94</v>
      </c>
      <c r="I22" s="213" t="s">
        <v>94</v>
      </c>
      <c r="J22" s="213" t="s">
        <v>94</v>
      </c>
    </row>
    <row r="23" spans="1:10" s="129" customFormat="1" ht="15" customHeight="1">
      <c r="A23" s="143"/>
      <c r="B23" s="140" t="s">
        <v>200</v>
      </c>
      <c r="C23" s="141" t="s">
        <v>87</v>
      </c>
      <c r="D23" s="142">
        <f>78500-50000</f>
        <v>28500</v>
      </c>
      <c r="E23" s="142">
        <f>52500-4500</f>
        <v>48000</v>
      </c>
      <c r="F23" s="142">
        <v>52500</v>
      </c>
    </row>
    <row r="24" spans="1:10" s="129" customFormat="1" ht="15" customHeight="1">
      <c r="A24" s="144" t="s">
        <v>84</v>
      </c>
      <c r="B24" s="145" t="s">
        <v>197</v>
      </c>
      <c r="C24" s="146" t="s">
        <v>201</v>
      </c>
      <c r="D24" s="147">
        <f>SUM(D21:D23)</f>
        <v>1098423.69</v>
      </c>
      <c r="E24" s="147">
        <f>SUM(E21:E23)</f>
        <v>792656</v>
      </c>
      <c r="F24" s="147">
        <f>SUM(F21:F23)</f>
        <v>554156</v>
      </c>
    </row>
    <row r="25" spans="1:10" s="129" customFormat="1" ht="15" customHeight="1">
      <c r="A25" s="144"/>
      <c r="B25" s="220"/>
      <c r="C25" s="221"/>
      <c r="D25" s="222"/>
      <c r="E25" s="222"/>
      <c r="F25" s="223"/>
    </row>
    <row r="26" spans="1:10" s="129" customFormat="1" ht="15" customHeight="1">
      <c r="A26" s="144"/>
      <c r="B26" s="137" t="s">
        <v>182</v>
      </c>
      <c r="C26" s="138" t="s">
        <v>234</v>
      </c>
      <c r="D26" s="137" t="s">
        <v>184</v>
      </c>
      <c r="E26" s="137" t="s">
        <v>185</v>
      </c>
      <c r="F26" s="137" t="s">
        <v>186</v>
      </c>
    </row>
    <row r="27" spans="1:10" s="129" customFormat="1" ht="15" customHeight="1">
      <c r="A27" s="144"/>
      <c r="B27" s="140" t="s">
        <v>233</v>
      </c>
      <c r="C27" s="141" t="s">
        <v>240</v>
      </c>
      <c r="D27" s="142">
        <v>50000</v>
      </c>
      <c r="E27" s="142">
        <v>0</v>
      </c>
      <c r="F27" s="142">
        <v>0</v>
      </c>
    </row>
    <row r="28" spans="1:10" s="129" customFormat="1" ht="15" customHeight="1">
      <c r="A28" s="144"/>
      <c r="B28" s="140" t="s">
        <v>235</v>
      </c>
      <c r="C28" s="141" t="s">
        <v>241</v>
      </c>
      <c r="D28" s="142">
        <v>0</v>
      </c>
      <c r="E28" s="142">
        <v>0</v>
      </c>
      <c r="F28" s="142">
        <v>0</v>
      </c>
    </row>
    <row r="29" spans="1:10" s="129" customFormat="1" ht="15" customHeight="1">
      <c r="A29" s="144"/>
      <c r="B29" s="140" t="s">
        <v>236</v>
      </c>
      <c r="C29" s="141" t="s">
        <v>242</v>
      </c>
      <c r="D29" s="142">
        <v>0</v>
      </c>
      <c r="E29" s="142">
        <v>0</v>
      </c>
      <c r="F29" s="142">
        <v>0</v>
      </c>
    </row>
    <row r="30" spans="1:10" s="129" customFormat="1" ht="15" customHeight="1">
      <c r="A30" s="144"/>
      <c r="B30" s="140" t="s">
        <v>237</v>
      </c>
      <c r="C30" s="141" t="s">
        <v>243</v>
      </c>
      <c r="D30" s="142">
        <v>0</v>
      </c>
      <c r="E30" s="142">
        <v>0</v>
      </c>
      <c r="F30" s="142">
        <v>0</v>
      </c>
    </row>
    <row r="31" spans="1:10" s="129" customFormat="1" ht="15" customHeight="1">
      <c r="A31" s="144"/>
      <c r="B31" s="145" t="s">
        <v>238</v>
      </c>
      <c r="C31" s="146" t="s">
        <v>239</v>
      </c>
      <c r="D31" s="147">
        <f>SUM(D27:D30)</f>
        <v>50000</v>
      </c>
      <c r="E31" s="147">
        <f>SUM(E27:E30)</f>
        <v>0</v>
      </c>
      <c r="F31" s="147">
        <f>SUM(F27:F30)</f>
        <v>0</v>
      </c>
    </row>
    <row r="32" spans="1:10" s="129" customFormat="1" ht="15" customHeight="1">
      <c r="A32" s="144"/>
      <c r="B32" s="220"/>
      <c r="C32" s="221"/>
      <c r="D32" s="222"/>
      <c r="E32" s="222"/>
      <c r="F32" s="223"/>
    </row>
    <row r="33" spans="1:11" s="129" customFormat="1" ht="7.5" customHeight="1">
      <c r="A33" s="148"/>
      <c r="B33" s="148"/>
      <c r="C33" s="148"/>
      <c r="D33" s="148"/>
      <c r="E33" s="148"/>
      <c r="F33" s="180"/>
    </row>
    <row r="34" spans="1:11" s="129" customFormat="1" ht="15" customHeight="1">
      <c r="A34" s="136" t="s">
        <v>181</v>
      </c>
      <c r="B34" s="137" t="s">
        <v>182</v>
      </c>
      <c r="C34" s="138" t="s">
        <v>202</v>
      </c>
      <c r="D34" s="137" t="s">
        <v>184</v>
      </c>
      <c r="E34" s="137" t="s">
        <v>185</v>
      </c>
      <c r="F34" s="137" t="s">
        <v>186</v>
      </c>
      <c r="K34" s="129" t="s">
        <v>94</v>
      </c>
    </row>
    <row r="35" spans="1:11" s="129" customFormat="1" ht="15" customHeight="1">
      <c r="A35" s="139" t="s">
        <v>203</v>
      </c>
      <c r="B35" s="140" t="s">
        <v>204</v>
      </c>
      <c r="C35" s="141" t="s">
        <v>205</v>
      </c>
      <c r="D35" s="142">
        <f>4792300</f>
        <v>4792300</v>
      </c>
      <c r="E35" s="142">
        <v>4796250</v>
      </c>
      <c r="F35" s="142">
        <v>4796250</v>
      </c>
      <c r="I35" s="213" t="s">
        <v>94</v>
      </c>
    </row>
    <row r="36" spans="1:11" s="129" customFormat="1" ht="15" customHeight="1">
      <c r="A36" s="143"/>
      <c r="B36" s="140" t="s">
        <v>206</v>
      </c>
      <c r="C36" s="141" t="s">
        <v>207</v>
      </c>
      <c r="D36" s="142">
        <v>7000</v>
      </c>
      <c r="E36" s="142">
        <v>2000</v>
      </c>
      <c r="F36" s="142">
        <v>2000</v>
      </c>
    </row>
    <row r="37" spans="1:11" s="129" customFormat="1" ht="15" customHeight="1">
      <c r="A37" s="144" t="s">
        <v>43</v>
      </c>
      <c r="B37" s="145" t="s">
        <v>203</v>
      </c>
      <c r="C37" s="146" t="s">
        <v>208</v>
      </c>
      <c r="D37" s="147">
        <f>SUM(D35:D36)</f>
        <v>4799300</v>
      </c>
      <c r="E37" s="147">
        <f>SUM(E35:E36)</f>
        <v>4798250</v>
      </c>
      <c r="F37" s="147">
        <f>SUM(F35:F36)</f>
        <v>4798250</v>
      </c>
    </row>
    <row r="38" spans="1:11" s="129" customFormat="1" ht="7.5" customHeight="1">
      <c r="A38" s="148"/>
      <c r="B38" s="148"/>
      <c r="C38" s="148"/>
      <c r="D38" s="148"/>
      <c r="E38" s="148"/>
      <c r="F38" s="180"/>
    </row>
    <row r="39" spans="1:11" s="129" customFormat="1" ht="18" customHeight="1">
      <c r="A39" s="149"/>
      <c r="B39" s="246" t="s">
        <v>209</v>
      </c>
      <c r="C39" s="246"/>
      <c r="D39" s="150">
        <f>D37+D24+D18+D31</f>
        <v>36641873.779999994</v>
      </c>
      <c r="E39" s="150">
        <f>E37+E24+E18+E31</f>
        <v>28404311.500000004</v>
      </c>
      <c r="F39" s="150">
        <f>F37+F24+F18+F31</f>
        <v>28006180.000000004</v>
      </c>
    </row>
    <row r="40" spans="1:11" s="129" customFormat="1" ht="7.5" customHeight="1">
      <c r="A40" s="149"/>
      <c r="B40" s="151"/>
      <c r="C40" s="151"/>
      <c r="D40" s="152"/>
      <c r="E40" s="152"/>
      <c r="F40" s="181"/>
    </row>
    <row r="41" spans="1:11" s="129" customFormat="1" ht="18" customHeight="1">
      <c r="A41" s="149"/>
      <c r="B41" s="153"/>
      <c r="C41" s="154" t="s">
        <v>210</v>
      </c>
      <c r="D41" s="155">
        <f>D39+D7</f>
        <v>36641873.779999994</v>
      </c>
      <c r="E41" s="155">
        <f>E39+E7</f>
        <v>28404311.500000004</v>
      </c>
      <c r="F41" s="155">
        <f>F39+F7</f>
        <v>28006180.000000004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M71"/>
  <sheetViews>
    <sheetView view="pageBreakPreview" topLeftCell="A40" zoomScale="70" zoomScaleNormal="100" zoomScaleSheetLayoutView="70" workbookViewId="0">
      <selection activeCell="C68" sqref="C68:L68"/>
    </sheetView>
  </sheetViews>
  <sheetFormatPr defaultColWidth="9.109375" defaultRowHeight="13.8"/>
  <cols>
    <col min="1" max="1" width="5.5546875" style="28" customWidth="1"/>
    <col min="2" max="2" width="14.109375" style="28" customWidth="1"/>
    <col min="3" max="3" width="48.109375" style="29" customWidth="1"/>
    <col min="4" max="4" width="15.6640625" style="28" customWidth="1"/>
    <col min="5" max="5" width="18.88671875" style="28" customWidth="1"/>
    <col min="6" max="6" width="20.33203125" style="28" customWidth="1"/>
    <col min="7" max="7" width="19.33203125" style="28" customWidth="1"/>
    <col min="8" max="9" width="15.88671875" style="28" customWidth="1"/>
    <col min="10" max="10" width="20" style="235" customWidth="1"/>
    <col min="11" max="11" width="21.109375" style="28" customWidth="1"/>
    <col min="12" max="12" width="28.33203125" style="28" customWidth="1"/>
    <col min="13" max="13" width="15" style="28" customWidth="1"/>
    <col min="14" max="16384" width="9.109375" style="28"/>
  </cols>
  <sheetData>
    <row r="1" spans="1:12" s="1" customFormat="1" ht="45" customHeight="1">
      <c r="A1" s="251" t="s">
        <v>80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2"/>
    </row>
    <row r="2" spans="1:12" s="1" customFormat="1" ht="55.2">
      <c r="B2" s="249" t="s">
        <v>0</v>
      </c>
      <c r="C2" s="249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224" t="s">
        <v>7</v>
      </c>
      <c r="K2" s="2" t="s">
        <v>8</v>
      </c>
    </row>
    <row r="3" spans="1:12" s="1" customFormat="1">
      <c r="B3" s="249"/>
      <c r="C3" s="249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25" t="s">
        <v>15</v>
      </c>
      <c r="K3" s="2" t="s">
        <v>16</v>
      </c>
    </row>
    <row r="4" spans="1:12" s="1" customFormat="1">
      <c r="A4" s="4"/>
      <c r="B4" s="5"/>
      <c r="C4" s="23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226" t="s">
        <v>7</v>
      </c>
      <c r="K4" s="7"/>
    </row>
    <row r="5" spans="1:12" s="1" customFormat="1" ht="27.6">
      <c r="A5" s="4"/>
      <c r="B5" s="8" t="s">
        <v>17</v>
      </c>
      <c r="C5" s="24" t="s">
        <v>18</v>
      </c>
      <c r="D5" s="9" t="s">
        <v>9</v>
      </c>
      <c r="E5" s="9" t="s">
        <v>10</v>
      </c>
      <c r="F5" s="9"/>
      <c r="G5" s="9" t="s">
        <v>12</v>
      </c>
      <c r="H5" s="9" t="s">
        <v>13</v>
      </c>
      <c r="I5" s="9" t="s">
        <v>14</v>
      </c>
      <c r="J5" s="227" t="s">
        <v>15</v>
      </c>
      <c r="K5" s="10"/>
    </row>
    <row r="6" spans="1:12" s="1" customFormat="1">
      <c r="A6" s="11" t="s">
        <v>16</v>
      </c>
      <c r="B6" s="12" t="s">
        <v>17</v>
      </c>
      <c r="C6" s="13" t="s">
        <v>19</v>
      </c>
      <c r="D6" s="14" t="s">
        <v>20</v>
      </c>
      <c r="E6" s="14">
        <f>968600.63-7000</f>
        <v>961600.63</v>
      </c>
      <c r="F6" s="14">
        <f>9655444.75-149759.48</f>
        <v>9505685.2699999996</v>
      </c>
      <c r="G6" s="14">
        <f>7179550+6474.2+64470+1250-195000-206151.55</f>
        <v>6850592.6500000004</v>
      </c>
      <c r="H6" s="14" t="s">
        <v>20</v>
      </c>
      <c r="I6" s="14" t="s">
        <v>20</v>
      </c>
      <c r="J6" s="228">
        <v>2000</v>
      </c>
      <c r="K6" s="14">
        <f>D6+E6+F6+G6+H6+I6+J6</f>
        <v>17319878.550000001</v>
      </c>
    </row>
    <row r="7" spans="1:12" s="1" customFormat="1">
      <c r="A7" s="15"/>
      <c r="B7" s="12" t="s">
        <v>21</v>
      </c>
      <c r="C7" s="13" t="s">
        <v>22</v>
      </c>
      <c r="D7" s="14" t="s">
        <v>20</v>
      </c>
      <c r="E7" s="14" t="s">
        <v>20</v>
      </c>
      <c r="F7" s="14">
        <f>32090-5000-1000</f>
        <v>26090</v>
      </c>
      <c r="G7" s="14" t="s">
        <v>20</v>
      </c>
      <c r="H7" s="14" t="s">
        <v>20</v>
      </c>
      <c r="I7" s="14" t="s">
        <v>20</v>
      </c>
      <c r="J7" s="228" t="s">
        <v>20</v>
      </c>
      <c r="K7" s="14">
        <f t="shared" ref="K7:K13" si="0">D7+E7+F7+G7+H7+I7+J7</f>
        <v>26090</v>
      </c>
    </row>
    <row r="8" spans="1:12" s="1" customFormat="1" ht="27.6">
      <c r="A8" s="15"/>
      <c r="B8" s="12" t="s">
        <v>23</v>
      </c>
      <c r="C8" s="13" t="s">
        <v>24</v>
      </c>
      <c r="D8" s="14">
        <f>256700-5499.34-1.85</f>
        <v>251198.81</v>
      </c>
      <c r="E8" s="14">
        <f>9468.52+2000+15000-1985.63</f>
        <v>24482.89</v>
      </c>
      <c r="F8" s="14">
        <f>2442625.54+407.58+6400+494.06+21500+149231.16+11158.37-55505.71</f>
        <v>2576311.0000000005</v>
      </c>
      <c r="G8" s="14" t="s">
        <v>20</v>
      </c>
      <c r="H8" s="14" t="s">
        <v>20</v>
      </c>
      <c r="I8" s="14" t="s">
        <v>20</v>
      </c>
      <c r="J8" s="228">
        <f>64925.55-900</f>
        <v>64025.55</v>
      </c>
      <c r="K8" s="14">
        <f t="shared" si="0"/>
        <v>2916018.2500000005</v>
      </c>
    </row>
    <row r="9" spans="1:12" s="1" customFormat="1">
      <c r="A9" s="15"/>
      <c r="B9" s="12" t="s">
        <v>25</v>
      </c>
      <c r="C9" s="13" t="s">
        <v>26</v>
      </c>
      <c r="D9" s="14" t="s">
        <v>20</v>
      </c>
      <c r="E9" s="14">
        <f>210180-16</f>
        <v>210164</v>
      </c>
      <c r="F9" s="14">
        <f>26830-25</f>
        <v>26805</v>
      </c>
      <c r="G9" s="14" t="s">
        <v>20</v>
      </c>
      <c r="H9" s="14" t="s">
        <v>20</v>
      </c>
      <c r="I9" s="14" t="s">
        <v>20</v>
      </c>
      <c r="J9" s="228">
        <v>6000</v>
      </c>
      <c r="K9" s="14">
        <f t="shared" si="0"/>
        <v>242969</v>
      </c>
    </row>
    <row r="10" spans="1:12" s="1" customFormat="1">
      <c r="A10" s="15"/>
      <c r="B10" s="12" t="s">
        <v>27</v>
      </c>
      <c r="C10" s="13" t="s">
        <v>28</v>
      </c>
      <c r="D10" s="14" t="s">
        <v>20</v>
      </c>
      <c r="E10" s="14" t="s">
        <v>20</v>
      </c>
      <c r="F10" s="14">
        <f>460060.44+1586+1586+19500+71200-99230.09</f>
        <v>454702.35</v>
      </c>
      <c r="G10" s="14" t="s">
        <v>20</v>
      </c>
      <c r="H10" s="14" t="s">
        <v>20</v>
      </c>
      <c r="I10" s="14" t="s">
        <v>20</v>
      </c>
      <c r="J10" s="228">
        <v>0</v>
      </c>
      <c r="K10" s="14">
        <f t="shared" si="0"/>
        <v>454702.35</v>
      </c>
    </row>
    <row r="11" spans="1:12" s="1" customFormat="1">
      <c r="A11" s="15"/>
      <c r="B11" s="12" t="s">
        <v>29</v>
      </c>
      <c r="C11" s="13" t="s">
        <v>30</v>
      </c>
      <c r="D11" s="14" t="s">
        <v>20</v>
      </c>
      <c r="E11" s="14" t="s">
        <v>20</v>
      </c>
      <c r="F11" s="14">
        <f>1058074.17+11928.36-4680.29-27000</f>
        <v>1038322.24</v>
      </c>
      <c r="G11" s="14" t="s">
        <v>20</v>
      </c>
      <c r="H11" s="14" t="s">
        <v>20</v>
      </c>
      <c r="I11" s="14" t="s">
        <v>20</v>
      </c>
      <c r="J11" s="228">
        <v>189.32</v>
      </c>
      <c r="K11" s="14">
        <f t="shared" si="0"/>
        <v>1038511.5599999999</v>
      </c>
    </row>
    <row r="12" spans="1:12" s="1" customFormat="1">
      <c r="A12" s="15"/>
      <c r="B12" s="12" t="s">
        <v>31</v>
      </c>
      <c r="C12" s="13" t="s">
        <v>32</v>
      </c>
      <c r="D12" s="14">
        <f>630+100-470</f>
        <v>260</v>
      </c>
      <c r="E12" s="14">
        <f>5120+510-1870</f>
        <v>3760</v>
      </c>
      <c r="F12" s="14">
        <f>93300+6000-15500-29408</f>
        <v>54392</v>
      </c>
      <c r="G12" s="14" t="s">
        <v>20</v>
      </c>
      <c r="H12" s="14" t="s">
        <v>20</v>
      </c>
      <c r="I12" s="14">
        <f>151176.07+6524.18-20000</f>
        <v>137700.25</v>
      </c>
      <c r="J12" s="228" t="s">
        <v>20</v>
      </c>
      <c r="K12" s="14">
        <f t="shared" si="0"/>
        <v>196112.25</v>
      </c>
    </row>
    <row r="13" spans="1:12" s="1" customFormat="1">
      <c r="A13" s="15"/>
      <c r="B13" s="12" t="s">
        <v>33</v>
      </c>
      <c r="C13" s="13" t="s">
        <v>34</v>
      </c>
      <c r="D13" s="14" t="s">
        <v>20</v>
      </c>
      <c r="E13" s="14">
        <f>204+794.67-286.47</f>
        <v>712.19999999999993</v>
      </c>
      <c r="F13" s="14">
        <f>8796+6962.87-6005</f>
        <v>9753.869999999999</v>
      </c>
      <c r="G13" s="14">
        <f>22830-5000</f>
        <v>17830</v>
      </c>
      <c r="H13" s="14">
        <v>500</v>
      </c>
      <c r="I13" s="14" t="s">
        <v>20</v>
      </c>
      <c r="J13" s="228">
        <v>3600</v>
      </c>
      <c r="K13" s="14">
        <f t="shared" si="0"/>
        <v>32396.07</v>
      </c>
    </row>
    <row r="14" spans="1:12" s="1" customFormat="1" ht="27.6">
      <c r="A14" s="6" t="s">
        <v>16</v>
      </c>
      <c r="B14" s="16"/>
      <c r="C14" s="25" t="s">
        <v>35</v>
      </c>
      <c r="D14" s="17">
        <f>SUM(D6:D13)</f>
        <v>251458.81</v>
      </c>
      <c r="E14" s="17">
        <f t="shared" ref="E14:J14" si="1">SUM(E6:E13)</f>
        <v>1200719.72</v>
      </c>
      <c r="F14" s="17">
        <f t="shared" si="1"/>
        <v>13692061.729999999</v>
      </c>
      <c r="G14" s="17">
        <f t="shared" si="1"/>
        <v>6868422.6500000004</v>
      </c>
      <c r="H14" s="17">
        <f t="shared" si="1"/>
        <v>500</v>
      </c>
      <c r="I14" s="17">
        <f t="shared" si="1"/>
        <v>137700.25</v>
      </c>
      <c r="J14" s="229">
        <f t="shared" si="1"/>
        <v>75814.87000000001</v>
      </c>
      <c r="K14" s="17">
        <f>D14+E14+F14+G14+H14+I14+J14</f>
        <v>22226678.029999997</v>
      </c>
    </row>
    <row r="15" spans="1:12" s="1" customFormat="1">
      <c r="C15" s="26"/>
      <c r="J15" s="230"/>
    </row>
    <row r="16" spans="1:12" s="1" customFormat="1" ht="27.6">
      <c r="A16" s="4"/>
      <c r="B16" s="8" t="s">
        <v>25</v>
      </c>
      <c r="C16" s="24" t="s">
        <v>36</v>
      </c>
      <c r="D16" s="9" t="s">
        <v>9</v>
      </c>
      <c r="E16" s="9" t="s">
        <v>10</v>
      </c>
      <c r="F16" s="9" t="s">
        <v>11</v>
      </c>
      <c r="G16" s="9" t="s">
        <v>12</v>
      </c>
      <c r="H16" s="9" t="s">
        <v>13</v>
      </c>
      <c r="I16" s="9" t="s">
        <v>14</v>
      </c>
      <c r="J16" s="227" t="s">
        <v>15</v>
      </c>
      <c r="K16" s="10"/>
    </row>
    <row r="17" spans="1:11" s="1" customFormat="1">
      <c r="A17" s="11" t="s">
        <v>37</v>
      </c>
      <c r="B17" s="12" t="s">
        <v>17</v>
      </c>
      <c r="C17" s="13" t="s">
        <v>38</v>
      </c>
      <c r="D17" s="14" t="s">
        <v>20</v>
      </c>
      <c r="E17" s="14" t="s">
        <v>20</v>
      </c>
      <c r="F17" s="14" t="s">
        <v>20</v>
      </c>
      <c r="G17" s="14" t="s">
        <v>20</v>
      </c>
      <c r="H17" s="14" t="s">
        <v>20</v>
      </c>
      <c r="I17" s="14" t="s">
        <v>20</v>
      </c>
      <c r="J17" s="228">
        <v>0</v>
      </c>
      <c r="K17" s="14">
        <f>D17+E17+F17+G17+H17+I17+J17</f>
        <v>0</v>
      </c>
    </row>
    <row r="18" spans="1:11" s="1" customFormat="1" ht="27.6">
      <c r="A18" s="15"/>
      <c r="B18" s="12" t="s">
        <v>21</v>
      </c>
      <c r="C18" s="13" t="s">
        <v>39</v>
      </c>
      <c r="D18" s="14" t="s">
        <v>20</v>
      </c>
      <c r="E18" s="14" t="s">
        <v>20</v>
      </c>
      <c r="F18" s="14">
        <f>652577.5+10000+11667.08+10000-95488.99-5393.86-40810.7</f>
        <v>542551.03</v>
      </c>
      <c r="G18" s="14">
        <f>637000+8809.11-10000+136000-10500+5393.86-118000.01</f>
        <v>648702.96</v>
      </c>
      <c r="H18" s="14" t="s">
        <v>20</v>
      </c>
      <c r="I18" s="14" t="s">
        <v>20</v>
      </c>
      <c r="J18" s="228">
        <v>131.5</v>
      </c>
      <c r="K18" s="14">
        <f>D18+E18+F18+G18+H18+I18+J18</f>
        <v>1191385.49</v>
      </c>
    </row>
    <row r="19" spans="1:11" s="1" customFormat="1" ht="44.25" customHeight="1">
      <c r="A19" s="6" t="s">
        <v>37</v>
      </c>
      <c r="B19" s="16"/>
      <c r="C19" s="25" t="s">
        <v>40</v>
      </c>
      <c r="D19" s="17">
        <f>SUM(D17:D18)</f>
        <v>0</v>
      </c>
      <c r="E19" s="17">
        <f t="shared" ref="E19:J19" si="2">SUM(E17:E18)</f>
        <v>0</v>
      </c>
      <c r="F19" s="17">
        <f>SUM(F17:F18)</f>
        <v>542551.03</v>
      </c>
      <c r="G19" s="17">
        <f t="shared" si="2"/>
        <v>648702.96</v>
      </c>
      <c r="H19" s="17">
        <f t="shared" si="2"/>
        <v>0</v>
      </c>
      <c r="I19" s="17">
        <f t="shared" si="2"/>
        <v>0</v>
      </c>
      <c r="J19" s="229">
        <f t="shared" si="2"/>
        <v>131.5</v>
      </c>
      <c r="K19" s="17">
        <f>D19+E19+F19+G19+H19+I19+J19</f>
        <v>1191385.49</v>
      </c>
    </row>
    <row r="20" spans="1:11" s="1" customFormat="1">
      <c r="C20" s="26"/>
      <c r="J20" s="230"/>
    </row>
    <row r="21" spans="1:11" s="1" customFormat="1" ht="27.6">
      <c r="A21" s="4"/>
      <c r="B21" s="8" t="s">
        <v>27</v>
      </c>
      <c r="C21" s="24" t="s">
        <v>226</v>
      </c>
      <c r="D21" s="9" t="s">
        <v>9</v>
      </c>
      <c r="E21" s="9" t="s">
        <v>10</v>
      </c>
      <c r="F21" s="9" t="s">
        <v>11</v>
      </c>
      <c r="G21" s="9" t="s">
        <v>12</v>
      </c>
      <c r="H21" s="9" t="s">
        <v>13</v>
      </c>
      <c r="I21" s="9" t="s">
        <v>14</v>
      </c>
      <c r="J21" s="227" t="s">
        <v>15</v>
      </c>
      <c r="K21" s="10"/>
    </row>
    <row r="22" spans="1:11" s="1" customFormat="1" ht="28.5" customHeight="1">
      <c r="A22" s="11" t="s">
        <v>37</v>
      </c>
      <c r="B22" s="12" t="s">
        <v>17</v>
      </c>
      <c r="C22" s="13" t="s">
        <v>225</v>
      </c>
      <c r="D22" s="14" t="s">
        <v>20</v>
      </c>
      <c r="E22" s="14" t="s">
        <v>20</v>
      </c>
      <c r="F22" s="14" t="s">
        <v>20</v>
      </c>
      <c r="G22" s="14">
        <v>1556719.5</v>
      </c>
      <c r="H22" s="14" t="s">
        <v>20</v>
      </c>
      <c r="I22" s="14" t="s">
        <v>20</v>
      </c>
      <c r="J22" s="228">
        <v>0</v>
      </c>
      <c r="K22" s="14">
        <f>D22+E22+F22+G22+H22+I22+J22</f>
        <v>1556719.5</v>
      </c>
    </row>
    <row r="23" spans="1:11" s="1" customFormat="1" ht="27.6">
      <c r="A23" s="6" t="s">
        <v>37</v>
      </c>
      <c r="B23" s="16"/>
      <c r="C23" s="25" t="s">
        <v>227</v>
      </c>
      <c r="D23" s="17">
        <f>SUM(D22)</f>
        <v>0</v>
      </c>
      <c r="E23" s="17">
        <f t="shared" ref="E23:K23" si="3">SUM(E22)</f>
        <v>0</v>
      </c>
      <c r="F23" s="17">
        <f t="shared" si="3"/>
        <v>0</v>
      </c>
      <c r="G23" s="17">
        <f t="shared" si="3"/>
        <v>1556719.5</v>
      </c>
      <c r="H23" s="17">
        <f t="shared" si="3"/>
        <v>0</v>
      </c>
      <c r="I23" s="17">
        <f t="shared" si="3"/>
        <v>0</v>
      </c>
      <c r="J23" s="229">
        <f t="shared" si="3"/>
        <v>0</v>
      </c>
      <c r="K23" s="17">
        <f t="shared" si="3"/>
        <v>1556719.5</v>
      </c>
    </row>
    <row r="24" spans="1:11" s="1" customFormat="1">
      <c r="C24" s="26"/>
      <c r="J24" s="230"/>
    </row>
    <row r="25" spans="1:11" s="1" customFormat="1">
      <c r="A25" s="4"/>
      <c r="B25" s="8" t="s">
        <v>41</v>
      </c>
      <c r="C25" s="24" t="s">
        <v>42</v>
      </c>
      <c r="D25" s="9" t="s">
        <v>9</v>
      </c>
      <c r="E25" s="9" t="s">
        <v>10</v>
      </c>
      <c r="F25" s="9" t="s">
        <v>11</v>
      </c>
      <c r="G25" s="9" t="s">
        <v>12</v>
      </c>
      <c r="H25" s="9" t="s">
        <v>13</v>
      </c>
      <c r="I25" s="9" t="s">
        <v>14</v>
      </c>
      <c r="J25" s="227" t="s">
        <v>15</v>
      </c>
      <c r="K25" s="10"/>
    </row>
    <row r="26" spans="1:11" s="1" customFormat="1">
      <c r="A26" s="11" t="s">
        <v>43</v>
      </c>
      <c r="B26" s="12" t="s">
        <v>17</v>
      </c>
      <c r="C26" s="13" t="s">
        <v>44</v>
      </c>
      <c r="D26" s="14" t="s">
        <v>20</v>
      </c>
      <c r="E26" s="14" t="s">
        <v>20</v>
      </c>
      <c r="F26" s="14" t="s">
        <v>20</v>
      </c>
      <c r="G26" s="14">
        <v>500000</v>
      </c>
      <c r="H26" s="14" t="s">
        <v>20</v>
      </c>
      <c r="I26" s="14" t="s">
        <v>20</v>
      </c>
      <c r="J26" s="228" t="s">
        <v>20</v>
      </c>
      <c r="K26" s="14">
        <f>D26+E26+F26+G26+H26+I26+J26</f>
        <v>500000</v>
      </c>
    </row>
    <row r="27" spans="1:11" s="1" customFormat="1">
      <c r="A27" s="6" t="s">
        <v>43</v>
      </c>
      <c r="B27" s="16"/>
      <c r="C27" s="25" t="s">
        <v>45</v>
      </c>
      <c r="D27" s="17">
        <f>SUM(D26)</f>
        <v>0</v>
      </c>
      <c r="E27" s="17">
        <f t="shared" ref="E27:J27" si="4">SUM(E26)</f>
        <v>0</v>
      </c>
      <c r="F27" s="17">
        <f t="shared" si="4"/>
        <v>0</v>
      </c>
      <c r="G27" s="17">
        <f t="shared" si="4"/>
        <v>500000</v>
      </c>
      <c r="H27" s="17">
        <f t="shared" si="4"/>
        <v>0</v>
      </c>
      <c r="I27" s="17">
        <f t="shared" si="4"/>
        <v>0</v>
      </c>
      <c r="J27" s="229">
        <f t="shared" si="4"/>
        <v>0</v>
      </c>
      <c r="K27" s="17">
        <f>D27+E27+F27+G27+H27+I27+J27</f>
        <v>500000</v>
      </c>
    </row>
    <row r="28" spans="1:11" s="1" customFormat="1">
      <c r="C28" s="26"/>
      <c r="J28" s="230"/>
    </row>
    <row r="29" spans="1:11" s="1" customFormat="1" ht="27.6">
      <c r="A29" s="4"/>
      <c r="B29" s="8" t="s">
        <v>46</v>
      </c>
      <c r="C29" s="24" t="s">
        <v>47</v>
      </c>
      <c r="D29" s="9" t="s">
        <v>9</v>
      </c>
      <c r="E29" s="9" t="s">
        <v>10</v>
      </c>
      <c r="F29" s="9" t="s">
        <v>11</v>
      </c>
      <c r="G29" s="9" t="s">
        <v>12</v>
      </c>
      <c r="H29" s="9" t="s">
        <v>13</v>
      </c>
      <c r="I29" s="9" t="s">
        <v>14</v>
      </c>
      <c r="J29" s="227" t="s">
        <v>15</v>
      </c>
      <c r="K29" s="10"/>
    </row>
    <row r="30" spans="1:11" s="1" customFormat="1">
      <c r="A30" s="11" t="s">
        <v>48</v>
      </c>
      <c r="B30" s="12" t="s">
        <v>21</v>
      </c>
      <c r="C30" s="13" t="s">
        <v>49</v>
      </c>
      <c r="D30" s="14" t="s">
        <v>20</v>
      </c>
      <c r="E30" s="14" t="s">
        <v>20</v>
      </c>
      <c r="F30" s="14" t="s">
        <v>20</v>
      </c>
      <c r="G30" s="14">
        <v>0</v>
      </c>
      <c r="H30" s="14" t="s">
        <v>20</v>
      </c>
      <c r="I30" s="14" t="s">
        <v>20</v>
      </c>
      <c r="J30" s="228" t="s">
        <v>20</v>
      </c>
      <c r="K30" s="14">
        <f>D30+E30+F30+G30+H30+I30+J30</f>
        <v>0</v>
      </c>
    </row>
    <row r="31" spans="1:11" s="1" customFormat="1">
      <c r="A31" s="15"/>
      <c r="B31" s="12" t="s">
        <v>23</v>
      </c>
      <c r="C31" s="13" t="s">
        <v>50</v>
      </c>
      <c r="D31" s="14" t="s">
        <v>20</v>
      </c>
      <c r="E31" s="14" t="s">
        <v>20</v>
      </c>
      <c r="F31" s="14">
        <f>3400+2500</f>
        <v>5900</v>
      </c>
      <c r="G31" s="14">
        <v>0</v>
      </c>
      <c r="H31" s="14" t="s">
        <v>20</v>
      </c>
      <c r="I31" s="14" t="s">
        <v>20</v>
      </c>
      <c r="J31" s="228" t="s">
        <v>20</v>
      </c>
      <c r="K31" s="14">
        <f>D31+E31+F31+G31+H31+I31+J31</f>
        <v>5900</v>
      </c>
    </row>
    <row r="32" spans="1:11" s="1" customFormat="1" ht="42.75" customHeight="1">
      <c r="A32" s="6" t="s">
        <v>48</v>
      </c>
      <c r="B32" s="16"/>
      <c r="C32" s="25" t="s">
        <v>51</v>
      </c>
      <c r="D32" s="17">
        <f>SUM(D30:D31)</f>
        <v>0</v>
      </c>
      <c r="E32" s="17">
        <f t="shared" ref="E32:J32" si="5">SUM(E30:E31)</f>
        <v>0</v>
      </c>
      <c r="F32" s="17">
        <f t="shared" si="5"/>
        <v>5900</v>
      </c>
      <c r="G32" s="17">
        <f t="shared" si="5"/>
        <v>0</v>
      </c>
      <c r="H32" s="17">
        <f t="shared" si="5"/>
        <v>0</v>
      </c>
      <c r="I32" s="17">
        <f t="shared" si="5"/>
        <v>0</v>
      </c>
      <c r="J32" s="229">
        <f t="shared" si="5"/>
        <v>0</v>
      </c>
      <c r="K32" s="17">
        <f>D32+E32+F32+G32+H32+I32+J32</f>
        <v>5900</v>
      </c>
    </row>
    <row r="33" spans="1:12" s="1" customFormat="1">
      <c r="C33" s="26"/>
      <c r="J33" s="230"/>
    </row>
    <row r="34" spans="1:12" s="1" customFormat="1">
      <c r="A34" s="4"/>
      <c r="B34" s="8" t="s">
        <v>33</v>
      </c>
      <c r="C34" s="24" t="s">
        <v>52</v>
      </c>
      <c r="D34" s="9" t="s">
        <v>9</v>
      </c>
      <c r="E34" s="9" t="s">
        <v>10</v>
      </c>
      <c r="F34" s="9" t="s">
        <v>11</v>
      </c>
      <c r="G34" s="9" t="s">
        <v>12</v>
      </c>
      <c r="H34" s="9" t="s">
        <v>13</v>
      </c>
      <c r="I34" s="9" t="s">
        <v>14</v>
      </c>
      <c r="J34" s="227" t="s">
        <v>15</v>
      </c>
      <c r="K34" s="10"/>
    </row>
    <row r="35" spans="1:12" s="1" customFormat="1">
      <c r="A35" s="11" t="s">
        <v>53</v>
      </c>
      <c r="B35" s="12" t="s">
        <v>21</v>
      </c>
      <c r="C35" s="13" t="s">
        <v>54</v>
      </c>
      <c r="D35" s="14" t="s">
        <v>20</v>
      </c>
      <c r="E35" s="14" t="s">
        <v>20</v>
      </c>
      <c r="F35" s="14" t="s">
        <v>20</v>
      </c>
      <c r="G35" s="14">
        <f>6000+176506.18+27135-182506.18</f>
        <v>27135</v>
      </c>
      <c r="H35" s="14" t="s">
        <v>20</v>
      </c>
      <c r="I35" s="14" t="s">
        <v>20</v>
      </c>
      <c r="J35" s="228" t="s">
        <v>20</v>
      </c>
      <c r="K35" s="14">
        <f>D35+E35+F35+G35+H35+I35+J35</f>
        <v>27135</v>
      </c>
    </row>
    <row r="36" spans="1:12" s="1" customFormat="1">
      <c r="A36" s="6" t="s">
        <v>53</v>
      </c>
      <c r="B36" s="16"/>
      <c r="C36" s="25" t="s">
        <v>55</v>
      </c>
      <c r="D36" s="17">
        <f>SUM(D35)</f>
        <v>0</v>
      </c>
      <c r="E36" s="17">
        <f t="shared" ref="E36:J36" si="6">SUM(E35)</f>
        <v>0</v>
      </c>
      <c r="F36" s="17">
        <f t="shared" si="6"/>
        <v>0</v>
      </c>
      <c r="G36" s="17">
        <f t="shared" si="6"/>
        <v>27135</v>
      </c>
      <c r="H36" s="17">
        <f t="shared" si="6"/>
        <v>0</v>
      </c>
      <c r="I36" s="17">
        <f t="shared" si="6"/>
        <v>0</v>
      </c>
      <c r="J36" s="229">
        <f t="shared" si="6"/>
        <v>0</v>
      </c>
      <c r="K36" s="17">
        <f>D36+E36+F36+G36+H36+I36+J36</f>
        <v>27135</v>
      </c>
    </row>
    <row r="37" spans="1:12" s="1" customFormat="1">
      <c r="C37" s="26"/>
      <c r="J37" s="230"/>
    </row>
    <row r="38" spans="1:12" s="1" customFormat="1" ht="27.6">
      <c r="A38" s="4"/>
      <c r="B38" s="8" t="s">
        <v>56</v>
      </c>
      <c r="C38" s="24" t="s">
        <v>57</v>
      </c>
      <c r="D38" s="9" t="s">
        <v>9</v>
      </c>
      <c r="E38" s="9" t="s">
        <v>10</v>
      </c>
      <c r="F38" s="9" t="s">
        <v>11</v>
      </c>
      <c r="G38" s="9" t="s">
        <v>12</v>
      </c>
      <c r="H38" s="9" t="s">
        <v>13</v>
      </c>
      <c r="I38" s="9" t="s">
        <v>14</v>
      </c>
      <c r="J38" s="227" t="s">
        <v>15</v>
      </c>
      <c r="K38" s="10"/>
    </row>
    <row r="39" spans="1:12" s="1" customFormat="1" ht="31.5" customHeight="1">
      <c r="A39" s="4"/>
      <c r="B39" s="12" t="s">
        <v>29</v>
      </c>
      <c r="C39" s="13" t="s">
        <v>224</v>
      </c>
      <c r="D39" s="14" t="s">
        <v>20</v>
      </c>
      <c r="E39" s="14" t="s">
        <v>20</v>
      </c>
      <c r="F39" s="14" t="s">
        <v>20</v>
      </c>
      <c r="G39" s="14">
        <f>100000</f>
        <v>100000</v>
      </c>
      <c r="H39" s="14" t="s">
        <v>20</v>
      </c>
      <c r="I39" s="14" t="s">
        <v>20</v>
      </c>
      <c r="J39" s="228" t="s">
        <v>20</v>
      </c>
      <c r="K39" s="14">
        <f>D39+E39+F39+G39+H39+I39+J39</f>
        <v>100000</v>
      </c>
    </row>
    <row r="40" spans="1:12" s="1" customFormat="1" ht="28.8">
      <c r="A40" s="11" t="s">
        <v>58</v>
      </c>
      <c r="B40" s="12" t="s">
        <v>31</v>
      </c>
      <c r="C40" s="13" t="s">
        <v>59</v>
      </c>
      <c r="D40" s="14" t="s">
        <v>20</v>
      </c>
      <c r="E40" s="14" t="s">
        <v>20</v>
      </c>
      <c r="F40" s="14" t="s">
        <v>20</v>
      </c>
      <c r="G40" s="14">
        <f>5000+51247.39+182506.18+5857.39+75368.16</f>
        <v>319979.12</v>
      </c>
      <c r="H40" s="14" t="s">
        <v>20</v>
      </c>
      <c r="I40" s="14" t="s">
        <v>20</v>
      </c>
      <c r="J40" s="228" t="s">
        <v>20</v>
      </c>
      <c r="K40" s="14">
        <f>D40+E40+F40+G40+H40+I40+J40</f>
        <v>319979.12</v>
      </c>
      <c r="L40" s="219" t="s">
        <v>94</v>
      </c>
    </row>
    <row r="41" spans="1:12" s="1" customFormat="1" ht="27.6">
      <c r="A41" s="6" t="s">
        <v>58</v>
      </c>
      <c r="B41" s="16"/>
      <c r="C41" s="25" t="s">
        <v>60</v>
      </c>
      <c r="D41" s="17">
        <f>SUM(D39:D40)</f>
        <v>0</v>
      </c>
      <c r="E41" s="17">
        <f t="shared" ref="E41:K41" si="7">SUM(E39:E40)</f>
        <v>0</v>
      </c>
      <c r="F41" s="17">
        <f t="shared" si="7"/>
        <v>0</v>
      </c>
      <c r="G41" s="17">
        <f t="shared" si="7"/>
        <v>419979.12</v>
      </c>
      <c r="H41" s="17">
        <f t="shared" si="7"/>
        <v>0</v>
      </c>
      <c r="I41" s="17">
        <f t="shared" si="7"/>
        <v>0</v>
      </c>
      <c r="J41" s="229">
        <f t="shared" si="7"/>
        <v>0</v>
      </c>
      <c r="K41" s="17">
        <f t="shared" si="7"/>
        <v>419979.12</v>
      </c>
      <c r="L41" s="1" t="s">
        <v>94</v>
      </c>
    </row>
    <row r="42" spans="1:12" s="1" customFormat="1">
      <c r="C42" s="26"/>
      <c r="J42" s="230"/>
    </row>
    <row r="43" spans="1:12" s="1" customFormat="1" ht="27.6">
      <c r="A43" s="4"/>
      <c r="B43" s="8" t="s">
        <v>61</v>
      </c>
      <c r="C43" s="24" t="s">
        <v>62</v>
      </c>
      <c r="D43" s="9" t="s">
        <v>9</v>
      </c>
      <c r="E43" s="9" t="s">
        <v>10</v>
      </c>
      <c r="F43" s="9" t="s">
        <v>11</v>
      </c>
      <c r="G43" s="9" t="s">
        <v>12</v>
      </c>
      <c r="H43" s="9" t="s">
        <v>13</v>
      </c>
      <c r="I43" s="9" t="s">
        <v>14</v>
      </c>
      <c r="J43" s="227" t="s">
        <v>15</v>
      </c>
      <c r="K43" s="10"/>
    </row>
    <row r="44" spans="1:12" s="1" customFormat="1">
      <c r="A44" s="11" t="s">
        <v>63</v>
      </c>
      <c r="B44" s="12" t="s">
        <v>21</v>
      </c>
      <c r="C44" s="13" t="s">
        <v>64</v>
      </c>
      <c r="D44" s="14" t="s">
        <v>20</v>
      </c>
      <c r="E44" s="14" t="s">
        <v>20</v>
      </c>
      <c r="F44" s="14" t="s">
        <v>20</v>
      </c>
      <c r="G44" s="14">
        <f>50000+43000-50000</f>
        <v>43000</v>
      </c>
      <c r="H44" s="14" t="s">
        <v>20</v>
      </c>
      <c r="I44" s="14" t="s">
        <v>20</v>
      </c>
      <c r="J44" s="228" t="s">
        <v>20</v>
      </c>
      <c r="K44" s="14">
        <f>D44+E44+F44+G44+H44+I44+J44</f>
        <v>43000</v>
      </c>
    </row>
    <row r="45" spans="1:12" s="1" customFormat="1">
      <c r="A45" s="15"/>
      <c r="B45" s="12" t="s">
        <v>23</v>
      </c>
      <c r="C45" s="13" t="s">
        <v>65</v>
      </c>
      <c r="D45" s="14" t="s">
        <v>20</v>
      </c>
      <c r="E45" s="14" t="s">
        <v>20</v>
      </c>
      <c r="F45" s="14" t="s">
        <v>20</v>
      </c>
      <c r="G45" s="14">
        <f>100000-100000</f>
        <v>0</v>
      </c>
      <c r="H45" s="14" t="s">
        <v>20</v>
      </c>
      <c r="I45" s="14" t="s">
        <v>20</v>
      </c>
      <c r="J45" s="228" t="s">
        <v>20</v>
      </c>
      <c r="K45" s="14">
        <f>D45+E45+F45+G45+H45+I45+J45</f>
        <v>0</v>
      </c>
    </row>
    <row r="46" spans="1:12" s="1" customFormat="1" ht="27.6">
      <c r="A46" s="6" t="s">
        <v>63</v>
      </c>
      <c r="B46" s="16"/>
      <c r="C46" s="25" t="s">
        <v>66</v>
      </c>
      <c r="D46" s="17">
        <f>SUM(D44:D45)</f>
        <v>0</v>
      </c>
      <c r="E46" s="17">
        <f t="shared" ref="E46:J46" si="8">SUM(E44:E45)</f>
        <v>0</v>
      </c>
      <c r="F46" s="17">
        <f t="shared" si="8"/>
        <v>0</v>
      </c>
      <c r="G46" s="17">
        <f t="shared" si="8"/>
        <v>43000</v>
      </c>
      <c r="H46" s="17">
        <f t="shared" si="8"/>
        <v>0</v>
      </c>
      <c r="I46" s="17">
        <f t="shared" si="8"/>
        <v>0</v>
      </c>
      <c r="J46" s="229">
        <f t="shared" si="8"/>
        <v>0</v>
      </c>
      <c r="K46" s="17">
        <f>D46+E46+F46+G46+H46+I46+J46</f>
        <v>43000</v>
      </c>
    </row>
    <row r="47" spans="1:12" s="1" customFormat="1">
      <c r="A47" s="6"/>
      <c r="B47" s="214"/>
      <c r="C47" s="215"/>
      <c r="D47" s="216"/>
      <c r="E47" s="216"/>
      <c r="F47" s="216"/>
      <c r="G47" s="216"/>
      <c r="H47" s="216"/>
      <c r="I47" s="216"/>
      <c r="J47" s="231"/>
      <c r="K47" s="216"/>
    </row>
    <row r="48" spans="1:12" s="1" customFormat="1" ht="27.6">
      <c r="A48" s="6"/>
      <c r="B48" s="8" t="s">
        <v>228</v>
      </c>
      <c r="C48" s="24" t="s">
        <v>229</v>
      </c>
      <c r="D48" s="9" t="s">
        <v>9</v>
      </c>
      <c r="E48" s="9" t="s">
        <v>10</v>
      </c>
      <c r="F48" s="9" t="s">
        <v>11</v>
      </c>
      <c r="G48" s="9" t="s">
        <v>12</v>
      </c>
      <c r="H48" s="9" t="s">
        <v>13</v>
      </c>
      <c r="I48" s="9" t="s">
        <v>14</v>
      </c>
      <c r="J48" s="227" t="s">
        <v>15</v>
      </c>
      <c r="K48" s="10"/>
    </row>
    <row r="49" spans="1:13" s="1" customFormat="1">
      <c r="A49" s="6"/>
      <c r="B49" s="12" t="s">
        <v>21</v>
      </c>
      <c r="C49" s="13" t="s">
        <v>230</v>
      </c>
      <c r="D49" s="14" t="s">
        <v>20</v>
      </c>
      <c r="E49" s="14" t="s">
        <v>20</v>
      </c>
      <c r="F49" s="14" t="s">
        <v>20</v>
      </c>
      <c r="G49" s="14">
        <v>50000</v>
      </c>
      <c r="H49" s="14" t="s">
        <v>20</v>
      </c>
      <c r="I49" s="14" t="s">
        <v>20</v>
      </c>
      <c r="J49" s="228" t="s">
        <v>20</v>
      </c>
      <c r="K49" s="14">
        <f>D49+E49+F49+G49+H49+I49+J49</f>
        <v>50000</v>
      </c>
    </row>
    <row r="50" spans="1:13" s="1" customFormat="1" ht="27.6">
      <c r="A50" s="6"/>
      <c r="B50" s="16"/>
      <c r="C50" s="25" t="s">
        <v>231</v>
      </c>
      <c r="D50" s="17">
        <f t="shared" ref="D50:J50" si="9">SUM(D48:D49)</f>
        <v>0</v>
      </c>
      <c r="E50" s="17">
        <f t="shared" si="9"/>
        <v>0</v>
      </c>
      <c r="F50" s="17">
        <f t="shared" si="9"/>
        <v>0</v>
      </c>
      <c r="G50" s="17">
        <f t="shared" si="9"/>
        <v>50000</v>
      </c>
      <c r="H50" s="17">
        <f t="shared" si="9"/>
        <v>0</v>
      </c>
      <c r="I50" s="17">
        <f t="shared" si="9"/>
        <v>0</v>
      </c>
      <c r="J50" s="229">
        <f t="shared" si="9"/>
        <v>0</v>
      </c>
      <c r="K50" s="17">
        <f>D50+E50+F50+G50+H50+I50+J50</f>
        <v>50000</v>
      </c>
    </row>
    <row r="51" spans="1:13" s="1" customFormat="1">
      <c r="A51" s="6"/>
      <c r="B51" s="214"/>
      <c r="C51" s="215"/>
      <c r="D51" s="216"/>
      <c r="E51" s="216"/>
      <c r="F51" s="216"/>
      <c r="G51" s="216"/>
      <c r="H51" s="216"/>
      <c r="I51" s="216"/>
      <c r="J51" s="231"/>
      <c r="K51" s="216"/>
    </row>
    <row r="52" spans="1:13" s="1" customFormat="1" ht="27.6">
      <c r="A52" s="4"/>
      <c r="B52" s="8" t="s">
        <v>67</v>
      </c>
      <c r="C52" s="24" t="s">
        <v>68</v>
      </c>
      <c r="D52" s="9" t="s">
        <v>9</v>
      </c>
      <c r="E52" s="9" t="s">
        <v>10</v>
      </c>
      <c r="F52" s="9" t="s">
        <v>11</v>
      </c>
      <c r="G52" s="9" t="s">
        <v>12</v>
      </c>
      <c r="H52" s="9" t="s">
        <v>13</v>
      </c>
      <c r="I52" s="9" t="s">
        <v>14</v>
      </c>
      <c r="J52" s="227" t="s">
        <v>15</v>
      </c>
      <c r="K52" s="10"/>
    </row>
    <row r="53" spans="1:13" s="1" customFormat="1" ht="41.4">
      <c r="A53" s="11" t="s">
        <v>69</v>
      </c>
      <c r="B53" s="12" t="s">
        <v>21</v>
      </c>
      <c r="C53" s="13" t="s">
        <v>70</v>
      </c>
      <c r="D53" s="14" t="s">
        <v>20</v>
      </c>
      <c r="E53" s="14" t="s">
        <v>20</v>
      </c>
      <c r="F53" s="14" t="s">
        <v>20</v>
      </c>
      <c r="G53" s="14">
        <v>62000</v>
      </c>
      <c r="H53" s="14" t="s">
        <v>20</v>
      </c>
      <c r="I53" s="14" t="s">
        <v>20</v>
      </c>
      <c r="J53" s="228" t="s">
        <v>20</v>
      </c>
      <c r="K53" s="14">
        <f>D53+E53+F53+G53+H53+I53+J53</f>
        <v>62000</v>
      </c>
    </row>
    <row r="54" spans="1:13" s="1" customFormat="1" ht="27.6">
      <c r="A54" s="6" t="s">
        <v>69</v>
      </c>
      <c r="B54" s="16"/>
      <c r="C54" s="25" t="s">
        <v>71</v>
      </c>
      <c r="D54" s="17">
        <f t="shared" ref="D54:J54" si="10">SUM(D52:D53)</f>
        <v>0</v>
      </c>
      <c r="E54" s="17">
        <f t="shared" si="10"/>
        <v>0</v>
      </c>
      <c r="F54" s="17">
        <f t="shared" si="10"/>
        <v>0</v>
      </c>
      <c r="G54" s="17">
        <f t="shared" si="10"/>
        <v>62000</v>
      </c>
      <c r="H54" s="17">
        <f t="shared" si="10"/>
        <v>0</v>
      </c>
      <c r="I54" s="17">
        <f t="shared" si="10"/>
        <v>0</v>
      </c>
      <c r="J54" s="229">
        <f t="shared" si="10"/>
        <v>0</v>
      </c>
      <c r="K54" s="17">
        <f>D54+E54+F54+G54+H54+I54+J54</f>
        <v>62000</v>
      </c>
    </row>
    <row r="55" spans="1:13" s="1" customFormat="1">
      <c r="C55" s="26"/>
      <c r="J55" s="230"/>
    </row>
    <row r="56" spans="1:13" s="1" customFormat="1">
      <c r="A56" s="4"/>
      <c r="B56" s="8" t="s">
        <v>72</v>
      </c>
      <c r="C56" s="24" t="s">
        <v>73</v>
      </c>
      <c r="D56" s="9" t="s">
        <v>9</v>
      </c>
      <c r="E56" s="9" t="s">
        <v>10</v>
      </c>
      <c r="F56" s="9" t="s">
        <v>11</v>
      </c>
      <c r="G56" s="9" t="s">
        <v>12</v>
      </c>
      <c r="H56" s="9" t="s">
        <v>13</v>
      </c>
      <c r="I56" s="9" t="s">
        <v>14</v>
      </c>
      <c r="J56" s="227" t="s">
        <v>15</v>
      </c>
      <c r="K56" s="10"/>
    </row>
    <row r="57" spans="1:13" s="1" customFormat="1">
      <c r="A57" s="11" t="s">
        <v>74</v>
      </c>
      <c r="B57" s="12" t="s">
        <v>17</v>
      </c>
      <c r="C57" s="13" t="s">
        <v>75</v>
      </c>
      <c r="D57" s="14" t="s">
        <v>20</v>
      </c>
      <c r="E57" s="14" t="s">
        <v>20</v>
      </c>
      <c r="F57" s="14" t="s">
        <v>20</v>
      </c>
      <c r="G57" s="14" t="s">
        <v>20</v>
      </c>
      <c r="H57" s="14" t="s">
        <v>20</v>
      </c>
      <c r="I57" s="14" t="s">
        <v>20</v>
      </c>
      <c r="J57" s="228">
        <f>237320-6400-3666.06-41000-15000-8357.39</f>
        <v>162896.54999999999</v>
      </c>
      <c r="K57" s="14">
        <f>D57+E57+F57+G57+H57+I57+J57</f>
        <v>162896.54999999999</v>
      </c>
      <c r="L57" s="1" t="s">
        <v>94</v>
      </c>
      <c r="M57" s="236" t="s">
        <v>94</v>
      </c>
    </row>
    <row r="58" spans="1:13" s="1" customFormat="1">
      <c r="A58" s="15"/>
      <c r="B58" s="12" t="s">
        <v>21</v>
      </c>
      <c r="C58" s="13" t="s">
        <v>76</v>
      </c>
      <c r="D58" s="14" t="s">
        <v>20</v>
      </c>
      <c r="E58" s="14" t="s">
        <v>20</v>
      </c>
      <c r="F58" s="14" t="s">
        <v>20</v>
      </c>
      <c r="G58" s="14" t="s">
        <v>20</v>
      </c>
      <c r="H58" s="14" t="s">
        <v>20</v>
      </c>
      <c r="I58" s="14" t="s">
        <v>20</v>
      </c>
      <c r="J58" s="228">
        <v>0</v>
      </c>
      <c r="K58" s="14">
        <f>D58+E58+F58+G58+H58+I58+J58</f>
        <v>0</v>
      </c>
    </row>
    <row r="59" spans="1:13" s="1" customFormat="1">
      <c r="A59" s="15"/>
      <c r="B59" s="12" t="s">
        <v>23</v>
      </c>
      <c r="C59" s="13" t="s">
        <v>77</v>
      </c>
      <c r="D59" s="14" t="s">
        <v>20</v>
      </c>
      <c r="E59" s="14" t="s">
        <v>20</v>
      </c>
      <c r="F59" s="14" t="s">
        <v>20</v>
      </c>
      <c r="G59" s="14" t="s">
        <v>20</v>
      </c>
      <c r="H59" s="14" t="s">
        <v>20</v>
      </c>
      <c r="I59" s="14" t="s">
        <v>20</v>
      </c>
      <c r="J59" s="228">
        <f>250000+3197932.41-279000+2086243.49+404599.51-2056719.5-50000+895400.49</f>
        <v>4448456.4000000004</v>
      </c>
      <c r="K59" s="14">
        <f>D59+E59+F59+G59+H59+I59+J59</f>
        <v>4448456.4000000004</v>
      </c>
    </row>
    <row r="60" spans="1:13" s="1" customFormat="1">
      <c r="A60" s="6" t="s">
        <v>74</v>
      </c>
      <c r="B60" s="16"/>
      <c r="C60" s="25" t="s">
        <v>78</v>
      </c>
      <c r="D60" s="17">
        <f>SUM(D57:D59)</f>
        <v>0</v>
      </c>
      <c r="E60" s="17">
        <f t="shared" ref="E60:J60" si="11">SUM(E57:E59)</f>
        <v>0</v>
      </c>
      <c r="F60" s="17">
        <f t="shared" si="11"/>
        <v>0</v>
      </c>
      <c r="G60" s="17">
        <f t="shared" si="11"/>
        <v>0</v>
      </c>
      <c r="H60" s="17">
        <f t="shared" si="11"/>
        <v>0</v>
      </c>
      <c r="I60" s="17">
        <f t="shared" si="11"/>
        <v>0</v>
      </c>
      <c r="J60" s="229">
        <f t="shared" si="11"/>
        <v>4611352.95</v>
      </c>
      <c r="K60" s="17">
        <f>D60+E60+F60+G60+H60+I60+J60</f>
        <v>4611352.95</v>
      </c>
    </row>
    <row r="61" spans="1:13" s="1" customFormat="1">
      <c r="C61" s="26"/>
      <c r="J61" s="230"/>
    </row>
    <row r="62" spans="1:13" s="1" customFormat="1">
      <c r="A62" s="18"/>
      <c r="B62" s="19"/>
      <c r="C62" s="27"/>
      <c r="D62" s="20"/>
      <c r="E62" s="20"/>
      <c r="F62" s="20"/>
      <c r="G62" s="20"/>
      <c r="H62" s="20"/>
      <c r="I62" s="20"/>
      <c r="J62" s="232"/>
      <c r="K62" s="20"/>
    </row>
    <row r="63" spans="1:13" s="1" customFormat="1">
      <c r="A63" s="18"/>
      <c r="B63" s="250" t="s">
        <v>79</v>
      </c>
      <c r="C63" s="250"/>
      <c r="D63" s="21">
        <f>D60+D54+D46+D41+D36+D32+D27+D19+D14+D23+D50</f>
        <v>251458.81</v>
      </c>
      <c r="E63" s="21">
        <f t="shared" ref="E63:K63" si="12">E60+E54+E46+E41+E36+E32+E27+E19+E14+E23+E50</f>
        <v>1200719.72</v>
      </c>
      <c r="F63" s="21">
        <f t="shared" si="12"/>
        <v>14240512.759999998</v>
      </c>
      <c r="G63" s="21">
        <f t="shared" si="12"/>
        <v>10175959.23</v>
      </c>
      <c r="H63" s="21">
        <f t="shared" si="12"/>
        <v>500</v>
      </c>
      <c r="I63" s="21">
        <f t="shared" si="12"/>
        <v>137700.25</v>
      </c>
      <c r="J63" s="233">
        <f t="shared" si="12"/>
        <v>4687299.32</v>
      </c>
      <c r="K63" s="21">
        <f t="shared" si="12"/>
        <v>30694150.089999996</v>
      </c>
    </row>
    <row r="65" spans="4:12">
      <c r="D65" s="29"/>
      <c r="E65" s="29"/>
      <c r="F65" s="29"/>
      <c r="G65" s="29"/>
      <c r="H65" s="29"/>
      <c r="I65" s="29"/>
      <c r="J65" s="234"/>
      <c r="K65" s="29"/>
      <c r="L65" s="29"/>
    </row>
    <row r="66" spans="4:12">
      <c r="D66" s="29"/>
      <c r="E66" s="29"/>
      <c r="F66" s="29"/>
      <c r="G66" s="29"/>
      <c r="H66" s="29"/>
      <c r="I66" s="29"/>
      <c r="J66" s="29"/>
      <c r="K66" s="29"/>
      <c r="L66" s="29"/>
    </row>
    <row r="67" spans="4:12">
      <c r="D67" s="29"/>
      <c r="E67" s="29"/>
      <c r="F67" s="29"/>
      <c r="G67" s="29"/>
      <c r="H67" s="29"/>
      <c r="I67" s="29"/>
      <c r="J67" s="234"/>
      <c r="K67" s="29"/>
      <c r="L67" s="29"/>
    </row>
    <row r="68" spans="4:12">
      <c r="D68" s="29"/>
      <c r="E68" s="29"/>
      <c r="F68" s="29"/>
      <c r="G68" s="29"/>
      <c r="H68" s="29"/>
      <c r="I68" s="29"/>
      <c r="J68" s="29"/>
      <c r="K68" s="29"/>
      <c r="L68" s="29"/>
    </row>
    <row r="69" spans="4:12">
      <c r="D69" s="29"/>
      <c r="E69" s="29"/>
      <c r="F69" s="29"/>
      <c r="G69" s="29"/>
      <c r="H69" s="29"/>
      <c r="I69" s="29"/>
      <c r="J69" s="234"/>
      <c r="K69" s="29"/>
      <c r="L69" s="29"/>
    </row>
    <row r="70" spans="4:12">
      <c r="D70" s="29"/>
      <c r="E70" s="29"/>
      <c r="F70" s="29"/>
      <c r="G70" s="29"/>
      <c r="H70" s="29"/>
      <c r="I70" s="29"/>
      <c r="J70" s="234"/>
      <c r="K70" s="29"/>
      <c r="L70" s="29"/>
    </row>
    <row r="71" spans="4:12">
      <c r="D71" s="29"/>
      <c r="E71" s="29"/>
      <c r="F71" s="29"/>
      <c r="G71" s="29"/>
      <c r="H71" s="29"/>
      <c r="I71" s="29"/>
      <c r="J71" s="234"/>
      <c r="K71" s="29"/>
    </row>
  </sheetData>
  <mergeCells count="3">
    <mergeCell ref="B2:C3"/>
    <mergeCell ref="B63:C63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44" fitToWidth="14" fitToHeight="14" orientation="landscape" r:id="rId1"/>
  <headerFooter alignWithMargins="0"/>
  <rowBreaks count="1" manualBreakCount="1">
    <brk id="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L73"/>
  <sheetViews>
    <sheetView view="pageBreakPreview" topLeftCell="A40" zoomScale="70" zoomScaleNormal="70" zoomScaleSheetLayoutView="70" workbookViewId="0">
      <selection activeCell="C73" sqref="C73:L73"/>
    </sheetView>
  </sheetViews>
  <sheetFormatPr defaultColWidth="9.109375" defaultRowHeight="13.8"/>
  <cols>
    <col min="1" max="1" width="5.5546875" style="28" customWidth="1"/>
    <col min="2" max="2" width="14.109375" style="28" customWidth="1"/>
    <col min="3" max="3" width="48.109375" style="29" customWidth="1"/>
    <col min="4" max="4" width="15.6640625" style="28" customWidth="1"/>
    <col min="5" max="5" width="18.88671875" style="28" customWidth="1"/>
    <col min="6" max="6" width="20.33203125" style="28" customWidth="1"/>
    <col min="7" max="7" width="19.33203125" style="28" customWidth="1"/>
    <col min="8" max="10" width="15.88671875" style="28" customWidth="1"/>
    <col min="11" max="11" width="21.109375" style="28" customWidth="1"/>
    <col min="12" max="12" width="30.33203125" style="28" customWidth="1"/>
    <col min="13" max="16384" width="9.109375" style="28"/>
  </cols>
  <sheetData>
    <row r="1" spans="1:12" s="1" customFormat="1" ht="45" customHeight="1">
      <c r="A1" s="251" t="s">
        <v>81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2"/>
    </row>
    <row r="2" spans="1:12" s="1" customFormat="1" ht="55.2">
      <c r="B2" s="249" t="s">
        <v>0</v>
      </c>
      <c r="C2" s="249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2" t="s">
        <v>8</v>
      </c>
    </row>
    <row r="3" spans="1:12" s="1" customFormat="1">
      <c r="B3" s="249"/>
      <c r="C3" s="249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</row>
    <row r="4" spans="1:12" s="1" customFormat="1">
      <c r="A4" s="4"/>
      <c r="B4" s="5"/>
      <c r="C4" s="23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7"/>
    </row>
    <row r="5" spans="1:12" s="1" customFormat="1" ht="27.6">
      <c r="A5" s="4"/>
      <c r="B5" s="8" t="s">
        <v>17</v>
      </c>
      <c r="C5" s="24" t="s">
        <v>18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10"/>
    </row>
    <row r="6" spans="1:12" s="1" customFormat="1">
      <c r="A6" s="11" t="s">
        <v>16</v>
      </c>
      <c r="B6" s="12" t="s">
        <v>17</v>
      </c>
      <c r="C6" s="13" t="s">
        <v>19</v>
      </c>
      <c r="D6" s="14" t="s">
        <v>20</v>
      </c>
      <c r="E6" s="14">
        <v>943843</v>
      </c>
      <c r="F6" s="14">
        <v>7818025.3200000003</v>
      </c>
      <c r="G6" s="14">
        <f>7562550-51000+135000</f>
        <v>7646550</v>
      </c>
      <c r="H6" s="14" t="s">
        <v>20</v>
      </c>
      <c r="I6" s="14" t="s">
        <v>20</v>
      </c>
      <c r="J6" s="14">
        <v>2000</v>
      </c>
      <c r="K6" s="14">
        <f t="shared" ref="K6:K12" si="0">D6+E6+F6+G6+H6+I6+J6</f>
        <v>16410418.32</v>
      </c>
    </row>
    <row r="7" spans="1:12" s="1" customFormat="1">
      <c r="A7" s="15"/>
      <c r="B7" s="12" t="s">
        <v>21</v>
      </c>
      <c r="C7" s="13" t="s">
        <v>22</v>
      </c>
      <c r="D7" s="14" t="s">
        <v>20</v>
      </c>
      <c r="E7" s="14" t="s">
        <v>20</v>
      </c>
      <c r="F7" s="14">
        <v>27090</v>
      </c>
      <c r="G7" s="14" t="s">
        <v>20</v>
      </c>
      <c r="H7" s="14" t="s">
        <v>20</v>
      </c>
      <c r="I7" s="14" t="s">
        <v>20</v>
      </c>
      <c r="J7" s="14" t="s">
        <v>20</v>
      </c>
      <c r="K7" s="14">
        <f t="shared" si="0"/>
        <v>27090</v>
      </c>
    </row>
    <row r="8" spans="1:12" s="1" customFormat="1" ht="27.6">
      <c r="A8" s="15"/>
      <c r="B8" s="12" t="s">
        <v>23</v>
      </c>
      <c r="C8" s="13" t="s">
        <v>24</v>
      </c>
      <c r="D8" s="14">
        <f>261400-9000</f>
        <v>252400</v>
      </c>
      <c r="E8" s="14">
        <v>9411.17</v>
      </c>
      <c r="F8" s="14">
        <v>2308047.25</v>
      </c>
      <c r="G8" s="14" t="s">
        <v>20</v>
      </c>
      <c r="H8" s="14" t="s">
        <v>20</v>
      </c>
      <c r="I8" s="14" t="s">
        <v>20</v>
      </c>
      <c r="J8" s="14">
        <v>63360.01</v>
      </c>
      <c r="K8" s="14">
        <f t="shared" si="0"/>
        <v>2633218.4299999997</v>
      </c>
    </row>
    <row r="9" spans="1:12" s="1" customFormat="1">
      <c r="A9" s="15"/>
      <c r="B9" s="12" t="s">
        <v>25</v>
      </c>
      <c r="C9" s="13" t="s">
        <v>26</v>
      </c>
      <c r="D9" s="14" t="s">
        <v>20</v>
      </c>
      <c r="E9" s="14">
        <v>210180</v>
      </c>
      <c r="F9" s="14">
        <v>26830</v>
      </c>
      <c r="G9" s="14" t="s">
        <v>20</v>
      </c>
      <c r="H9" s="14" t="s">
        <v>20</v>
      </c>
      <c r="I9" s="14" t="s">
        <v>20</v>
      </c>
      <c r="J9" s="14">
        <v>6000</v>
      </c>
      <c r="K9" s="14">
        <f t="shared" si="0"/>
        <v>243010</v>
      </c>
    </row>
    <row r="10" spans="1:12" s="1" customFormat="1">
      <c r="A10" s="15"/>
      <c r="B10" s="12" t="s">
        <v>27</v>
      </c>
      <c r="C10" s="13" t="s">
        <v>28</v>
      </c>
      <c r="D10" s="14" t="s">
        <v>20</v>
      </c>
      <c r="E10" s="14" t="s">
        <v>20</v>
      </c>
      <c r="F10" s="14">
        <v>377000</v>
      </c>
      <c r="G10" s="14" t="s">
        <v>20</v>
      </c>
      <c r="H10" s="14" t="s">
        <v>20</v>
      </c>
      <c r="I10" s="14" t="s">
        <v>20</v>
      </c>
      <c r="J10" s="14">
        <v>14575</v>
      </c>
      <c r="K10" s="14">
        <f t="shared" si="0"/>
        <v>391575</v>
      </c>
    </row>
    <row r="11" spans="1:12" s="1" customFormat="1">
      <c r="A11" s="15"/>
      <c r="B11" s="12" t="s">
        <v>29</v>
      </c>
      <c r="C11" s="13" t="s">
        <v>30</v>
      </c>
      <c r="D11" s="14" t="s">
        <v>20</v>
      </c>
      <c r="E11" s="14" t="s">
        <v>20</v>
      </c>
      <c r="F11" s="14">
        <v>1064513.7</v>
      </c>
      <c r="G11" s="14" t="s">
        <v>20</v>
      </c>
      <c r="H11" s="14" t="s">
        <v>20</v>
      </c>
      <c r="I11" s="14" t="s">
        <v>20</v>
      </c>
      <c r="J11" s="14">
        <v>0</v>
      </c>
      <c r="K11" s="14">
        <f t="shared" si="0"/>
        <v>1064513.7</v>
      </c>
    </row>
    <row r="12" spans="1:12" s="1" customFormat="1">
      <c r="A12" s="15"/>
      <c r="B12" s="12" t="s">
        <v>31</v>
      </c>
      <c r="C12" s="13" t="s">
        <v>32</v>
      </c>
      <c r="D12" s="14">
        <v>630</v>
      </c>
      <c r="E12" s="14">
        <v>5120</v>
      </c>
      <c r="F12" s="14">
        <v>95300</v>
      </c>
      <c r="G12" s="14" t="s">
        <v>20</v>
      </c>
      <c r="H12" s="14" t="s">
        <v>20</v>
      </c>
      <c r="I12" s="14">
        <v>141176.07</v>
      </c>
      <c r="J12" s="14" t="s">
        <v>20</v>
      </c>
      <c r="K12" s="14">
        <f t="shared" si="0"/>
        <v>242226.07</v>
      </c>
    </row>
    <row r="13" spans="1:12" s="1" customFormat="1">
      <c r="A13" s="15"/>
      <c r="B13" s="12" t="s">
        <v>33</v>
      </c>
      <c r="C13" s="13" t="s">
        <v>34</v>
      </c>
      <c r="D13" s="14" t="s">
        <v>20</v>
      </c>
      <c r="E13" s="14">
        <v>204</v>
      </c>
      <c r="F13" s="14">
        <v>8796</v>
      </c>
      <c r="G13" s="14">
        <v>23200</v>
      </c>
      <c r="H13" s="14">
        <v>500</v>
      </c>
      <c r="I13" s="14" t="s">
        <v>20</v>
      </c>
      <c r="J13" s="14">
        <v>3600</v>
      </c>
      <c r="K13" s="14">
        <f>D13+E13+F13+G13+H13+I13+J13</f>
        <v>36300</v>
      </c>
    </row>
    <row r="14" spans="1:12" s="1" customFormat="1" ht="27.6">
      <c r="A14" s="6" t="s">
        <v>16</v>
      </c>
      <c r="B14" s="16"/>
      <c r="C14" s="25" t="s">
        <v>35</v>
      </c>
      <c r="D14" s="17">
        <f>SUM(D6:D13)</f>
        <v>253030</v>
      </c>
      <c r="E14" s="17">
        <f t="shared" ref="E14:J14" si="1">SUM(E6:E13)</f>
        <v>1168758.17</v>
      </c>
      <c r="F14" s="17">
        <f t="shared" si="1"/>
        <v>11725602.27</v>
      </c>
      <c r="G14" s="17">
        <f t="shared" si="1"/>
        <v>7669750</v>
      </c>
      <c r="H14" s="17">
        <f t="shared" si="1"/>
        <v>500</v>
      </c>
      <c r="I14" s="17">
        <f t="shared" si="1"/>
        <v>141176.07</v>
      </c>
      <c r="J14" s="17">
        <f t="shared" si="1"/>
        <v>89535.010000000009</v>
      </c>
      <c r="K14" s="17">
        <f>D14+E14+F14+G14+H14+I14+J14</f>
        <v>21048351.52</v>
      </c>
    </row>
    <row r="15" spans="1:12" s="1" customFormat="1">
      <c r="C15" s="26"/>
    </row>
    <row r="16" spans="1:12" s="1" customFormat="1">
      <c r="A16" s="4"/>
      <c r="B16" s="5"/>
      <c r="C16" s="23"/>
      <c r="D16" s="6" t="s">
        <v>1</v>
      </c>
      <c r="E16" s="6" t="s">
        <v>2</v>
      </c>
      <c r="F16" s="6" t="s">
        <v>3</v>
      </c>
      <c r="G16" s="6" t="s">
        <v>4</v>
      </c>
      <c r="H16" s="6" t="s">
        <v>5</v>
      </c>
      <c r="I16" s="6" t="s">
        <v>6</v>
      </c>
      <c r="J16" s="6" t="s">
        <v>7</v>
      </c>
      <c r="K16" s="7"/>
    </row>
    <row r="17" spans="1:11" s="1" customFormat="1" ht="27.6">
      <c r="A17" s="4"/>
      <c r="B17" s="8" t="s">
        <v>25</v>
      </c>
      <c r="C17" s="24" t="s">
        <v>36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15</v>
      </c>
      <c r="K17" s="10"/>
    </row>
    <row r="18" spans="1:11" s="1" customFormat="1">
      <c r="A18" s="11" t="s">
        <v>37</v>
      </c>
      <c r="B18" s="12" t="s">
        <v>17</v>
      </c>
      <c r="C18" s="13" t="s">
        <v>38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  <c r="I18" s="14" t="s">
        <v>20</v>
      </c>
      <c r="J18" s="14">
        <v>0</v>
      </c>
      <c r="K18" s="14">
        <f>D18+E18+F18+G18+H18+I18+J18</f>
        <v>0</v>
      </c>
    </row>
    <row r="19" spans="1:11" s="1" customFormat="1" ht="27.6">
      <c r="A19" s="15"/>
      <c r="B19" s="12" t="s">
        <v>21</v>
      </c>
      <c r="C19" s="13" t="s">
        <v>39</v>
      </c>
      <c r="D19" s="14" t="s">
        <v>20</v>
      </c>
      <c r="E19" s="14" t="s">
        <v>20</v>
      </c>
      <c r="F19" s="14">
        <f>784022.48+131.5-5000</f>
        <v>779153.98</v>
      </c>
      <c r="G19" s="14">
        <f>687000-35000-135000</f>
        <v>517000</v>
      </c>
      <c r="H19" s="14" t="s">
        <v>20</v>
      </c>
      <c r="I19" s="14" t="s">
        <v>20</v>
      </c>
      <c r="J19" s="14">
        <v>0</v>
      </c>
      <c r="K19" s="14">
        <f>D19+E19+F19+G19+H19+I19+J19</f>
        <v>1296153.98</v>
      </c>
    </row>
    <row r="20" spans="1:11" s="1" customFormat="1" ht="27.6">
      <c r="A20" s="6" t="s">
        <v>37</v>
      </c>
      <c r="B20" s="16"/>
      <c r="C20" s="25" t="s">
        <v>40</v>
      </c>
      <c r="D20" s="17">
        <f>SUM(D18:D19)</f>
        <v>0</v>
      </c>
      <c r="E20" s="17">
        <f t="shared" ref="E20:J20" si="2">SUM(E18:E19)</f>
        <v>0</v>
      </c>
      <c r="F20" s="17">
        <f t="shared" si="2"/>
        <v>779153.98</v>
      </c>
      <c r="G20" s="17">
        <f t="shared" si="2"/>
        <v>517000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>D20+E20+F20+G20+H20+I20+J20</f>
        <v>1296153.98</v>
      </c>
    </row>
    <row r="21" spans="1:11" s="1" customFormat="1">
      <c r="A21" s="6"/>
      <c r="B21" s="214"/>
      <c r="C21" s="215"/>
      <c r="D21" s="216"/>
      <c r="E21" s="216"/>
      <c r="F21" s="216"/>
      <c r="G21" s="216"/>
      <c r="H21" s="216"/>
      <c r="I21" s="216"/>
      <c r="J21" s="216"/>
      <c r="K21" s="216"/>
    </row>
    <row r="22" spans="1:11" s="1" customFormat="1" ht="27.6">
      <c r="A22" s="4"/>
      <c r="B22" s="8" t="s">
        <v>27</v>
      </c>
      <c r="C22" s="24" t="s">
        <v>226</v>
      </c>
      <c r="D22" s="9" t="s">
        <v>9</v>
      </c>
      <c r="E22" s="9" t="s">
        <v>10</v>
      </c>
      <c r="F22" s="9" t="s">
        <v>11</v>
      </c>
      <c r="G22" s="9" t="s">
        <v>12</v>
      </c>
      <c r="H22" s="9" t="s">
        <v>13</v>
      </c>
      <c r="I22" s="9" t="s">
        <v>14</v>
      </c>
      <c r="J22" s="9" t="s">
        <v>15</v>
      </c>
      <c r="K22" s="10"/>
    </row>
    <row r="23" spans="1:11" s="1" customFormat="1" ht="28.5" customHeight="1">
      <c r="A23" s="11" t="s">
        <v>37</v>
      </c>
      <c r="B23" s="12" t="s">
        <v>17</v>
      </c>
      <c r="C23" s="13" t="s">
        <v>225</v>
      </c>
      <c r="D23" s="14" t="s">
        <v>20</v>
      </c>
      <c r="E23" s="14" t="s">
        <v>20</v>
      </c>
      <c r="F23" s="14" t="s">
        <v>20</v>
      </c>
      <c r="G23" s="14" t="s">
        <v>20</v>
      </c>
      <c r="H23" s="14" t="s">
        <v>20</v>
      </c>
      <c r="I23" s="14" t="s">
        <v>20</v>
      </c>
      <c r="J23" s="14">
        <v>0</v>
      </c>
      <c r="K23" s="14">
        <f>D23+E23+F23+G23+H23+I23+J23</f>
        <v>0</v>
      </c>
    </row>
    <row r="24" spans="1:11" s="1" customFormat="1" ht="27.6">
      <c r="A24" s="6" t="s">
        <v>37</v>
      </c>
      <c r="B24" s="16"/>
      <c r="C24" s="25" t="s">
        <v>227</v>
      </c>
      <c r="D24" s="17">
        <f>SUM(D23)</f>
        <v>0</v>
      </c>
      <c r="E24" s="17">
        <f t="shared" ref="E24:K24" si="3">SUM(E23)</f>
        <v>0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</row>
    <row r="25" spans="1:11" s="1" customFormat="1">
      <c r="A25" s="6"/>
      <c r="B25" s="214"/>
      <c r="C25" s="215"/>
      <c r="D25" s="216"/>
      <c r="E25" s="216"/>
      <c r="F25" s="216"/>
      <c r="G25" s="216"/>
      <c r="H25" s="216"/>
      <c r="I25" s="216"/>
      <c r="J25" s="216"/>
      <c r="K25" s="216"/>
    </row>
    <row r="26" spans="1:11" s="1" customFormat="1">
      <c r="A26" s="4"/>
      <c r="B26" s="8" t="s">
        <v>41</v>
      </c>
      <c r="C26" s="24" t="s">
        <v>42</v>
      </c>
      <c r="D26" s="9" t="s">
        <v>9</v>
      </c>
      <c r="E26" s="9" t="s">
        <v>10</v>
      </c>
      <c r="F26" s="9" t="s">
        <v>11</v>
      </c>
      <c r="G26" s="9" t="s">
        <v>12</v>
      </c>
      <c r="H26" s="9" t="s">
        <v>13</v>
      </c>
      <c r="I26" s="9" t="s">
        <v>14</v>
      </c>
      <c r="J26" s="9" t="s">
        <v>15</v>
      </c>
      <c r="K26" s="10"/>
    </row>
    <row r="27" spans="1:11" s="1" customFormat="1">
      <c r="A27" s="11" t="s">
        <v>43</v>
      </c>
      <c r="B27" s="12" t="s">
        <v>17</v>
      </c>
      <c r="C27" s="13" t="s">
        <v>44</v>
      </c>
      <c r="D27" s="14" t="s">
        <v>20</v>
      </c>
      <c r="E27" s="14" t="s">
        <v>20</v>
      </c>
      <c r="F27" s="14" t="s">
        <v>20</v>
      </c>
      <c r="G27" s="14">
        <v>0</v>
      </c>
      <c r="H27" s="14" t="s">
        <v>20</v>
      </c>
      <c r="I27" s="14" t="s">
        <v>20</v>
      </c>
      <c r="J27" s="14" t="s">
        <v>20</v>
      </c>
      <c r="K27" s="14">
        <f>D27+E27+F27+G27+H27+I27+J27</f>
        <v>0</v>
      </c>
    </row>
    <row r="28" spans="1:11" s="1" customFormat="1">
      <c r="A28" s="6" t="s">
        <v>43</v>
      </c>
      <c r="B28" s="16"/>
      <c r="C28" s="25" t="s">
        <v>45</v>
      </c>
      <c r="D28" s="17">
        <f>SUM(D27)</f>
        <v>0</v>
      </c>
      <c r="E28" s="17">
        <f t="shared" ref="E28:J28" si="4">SUM(E27)</f>
        <v>0</v>
      </c>
      <c r="F28" s="17">
        <f t="shared" si="4"/>
        <v>0</v>
      </c>
      <c r="G28" s="17">
        <f t="shared" si="4"/>
        <v>0</v>
      </c>
      <c r="H28" s="17">
        <f t="shared" si="4"/>
        <v>0</v>
      </c>
      <c r="I28" s="17">
        <f t="shared" si="4"/>
        <v>0</v>
      </c>
      <c r="J28" s="17">
        <f t="shared" si="4"/>
        <v>0</v>
      </c>
      <c r="K28" s="17">
        <f>D28+E28+F28+G28+H28+I28+J28</f>
        <v>0</v>
      </c>
    </row>
    <row r="29" spans="1:11" s="1" customFormat="1">
      <c r="C29" s="26"/>
    </row>
    <row r="30" spans="1:11" s="1" customFormat="1">
      <c r="A30" s="4"/>
      <c r="B30" s="5"/>
      <c r="C30" s="23"/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6" t="s">
        <v>7</v>
      </c>
      <c r="K30" s="7"/>
    </row>
    <row r="31" spans="1:11" s="1" customFormat="1" ht="27.6">
      <c r="A31" s="4"/>
      <c r="B31" s="8" t="s">
        <v>46</v>
      </c>
      <c r="C31" s="24" t="s">
        <v>47</v>
      </c>
      <c r="D31" s="9" t="s">
        <v>9</v>
      </c>
      <c r="E31" s="9" t="s">
        <v>10</v>
      </c>
      <c r="F31" s="9" t="s">
        <v>11</v>
      </c>
      <c r="G31" s="9" t="s">
        <v>12</v>
      </c>
      <c r="H31" s="9" t="s">
        <v>13</v>
      </c>
      <c r="I31" s="9" t="s">
        <v>14</v>
      </c>
      <c r="J31" s="9" t="s">
        <v>15</v>
      </c>
      <c r="K31" s="10"/>
    </row>
    <row r="32" spans="1:11" s="1" customFormat="1">
      <c r="A32" s="11" t="s">
        <v>48</v>
      </c>
      <c r="B32" s="12" t="s">
        <v>21</v>
      </c>
      <c r="C32" s="13" t="s">
        <v>49</v>
      </c>
      <c r="D32" s="14" t="s">
        <v>20</v>
      </c>
      <c r="E32" s="14" t="s">
        <v>20</v>
      </c>
      <c r="F32" s="14" t="s">
        <v>20</v>
      </c>
      <c r="G32" s="14">
        <v>0</v>
      </c>
      <c r="H32" s="14" t="s">
        <v>20</v>
      </c>
      <c r="I32" s="14" t="s">
        <v>20</v>
      </c>
      <c r="J32" s="14" t="s">
        <v>20</v>
      </c>
      <c r="K32" s="14">
        <f>D32+E32+F32+G32+H32+I32+J32</f>
        <v>0</v>
      </c>
    </row>
    <row r="33" spans="1:11" s="1" customFormat="1">
      <c r="A33" s="15"/>
      <c r="B33" s="12" t="s">
        <v>23</v>
      </c>
      <c r="C33" s="13" t="s">
        <v>50</v>
      </c>
      <c r="D33" s="14" t="s">
        <v>20</v>
      </c>
      <c r="E33" s="14" t="s">
        <v>20</v>
      </c>
      <c r="F33" s="14">
        <v>3400</v>
      </c>
      <c r="G33" s="14">
        <v>0</v>
      </c>
      <c r="H33" s="14" t="s">
        <v>20</v>
      </c>
      <c r="I33" s="14" t="s">
        <v>20</v>
      </c>
      <c r="J33" s="14" t="s">
        <v>20</v>
      </c>
      <c r="K33" s="14">
        <f>D33+E33+F33+G33+H33+I33+J33</f>
        <v>3400</v>
      </c>
    </row>
    <row r="34" spans="1:11" s="1" customFormat="1" ht="27.6">
      <c r="A34" s="6" t="s">
        <v>48</v>
      </c>
      <c r="B34" s="16"/>
      <c r="C34" s="25" t="s">
        <v>51</v>
      </c>
      <c r="D34" s="17">
        <f>SUM(D32:D33)</f>
        <v>0</v>
      </c>
      <c r="E34" s="17">
        <f t="shared" ref="E34:J34" si="5">SUM(E32:E33)</f>
        <v>0</v>
      </c>
      <c r="F34" s="17">
        <f t="shared" si="5"/>
        <v>3400</v>
      </c>
      <c r="G34" s="17">
        <f t="shared" si="5"/>
        <v>0</v>
      </c>
      <c r="H34" s="17">
        <f t="shared" si="5"/>
        <v>0</v>
      </c>
      <c r="I34" s="17">
        <f t="shared" si="5"/>
        <v>0</v>
      </c>
      <c r="J34" s="17">
        <f t="shared" si="5"/>
        <v>0</v>
      </c>
      <c r="K34" s="17">
        <f>D34+E34+F34+G34+H34+I34+J34</f>
        <v>3400</v>
      </c>
    </row>
    <row r="35" spans="1:11" s="1" customFormat="1">
      <c r="C35" s="26"/>
    </row>
    <row r="36" spans="1:11" s="1" customFormat="1">
      <c r="A36" s="4"/>
      <c r="B36" s="5"/>
      <c r="C36" s="23"/>
      <c r="D36" s="6" t="s">
        <v>1</v>
      </c>
      <c r="E36" s="6" t="s">
        <v>2</v>
      </c>
      <c r="F36" s="6" t="s">
        <v>3</v>
      </c>
      <c r="G36" s="6" t="s">
        <v>4</v>
      </c>
      <c r="H36" s="6" t="s">
        <v>5</v>
      </c>
      <c r="I36" s="6" t="s">
        <v>6</v>
      </c>
      <c r="J36" s="6" t="s">
        <v>7</v>
      </c>
      <c r="K36" s="7"/>
    </row>
    <row r="37" spans="1:11" s="1" customFormat="1">
      <c r="A37" s="4"/>
      <c r="B37" s="8" t="s">
        <v>33</v>
      </c>
      <c r="C37" s="24" t="s">
        <v>52</v>
      </c>
      <c r="D37" s="9" t="s">
        <v>9</v>
      </c>
      <c r="E37" s="9" t="s">
        <v>10</v>
      </c>
      <c r="F37" s="9" t="s">
        <v>11</v>
      </c>
      <c r="G37" s="9" t="s">
        <v>12</v>
      </c>
      <c r="H37" s="9" t="s">
        <v>13</v>
      </c>
      <c r="I37" s="9" t="s">
        <v>14</v>
      </c>
      <c r="J37" s="9" t="s">
        <v>15</v>
      </c>
      <c r="K37" s="10"/>
    </row>
    <row r="38" spans="1:11" s="1" customFormat="1">
      <c r="A38" s="11" t="s">
        <v>53</v>
      </c>
      <c r="B38" s="12" t="s">
        <v>21</v>
      </c>
      <c r="C38" s="13" t="s">
        <v>54</v>
      </c>
      <c r="D38" s="14" t="s">
        <v>20</v>
      </c>
      <c r="E38" s="14" t="s">
        <v>20</v>
      </c>
      <c r="F38" s="14" t="s">
        <v>20</v>
      </c>
      <c r="G38" s="14">
        <v>6000</v>
      </c>
      <c r="H38" s="14" t="s">
        <v>20</v>
      </c>
      <c r="I38" s="14" t="s">
        <v>20</v>
      </c>
      <c r="J38" s="14" t="s">
        <v>20</v>
      </c>
      <c r="K38" s="14">
        <f>D38+E38+F38+G38+H38+I38+J38</f>
        <v>6000</v>
      </c>
    </row>
    <row r="39" spans="1:11" s="1" customFormat="1">
      <c r="A39" s="6" t="s">
        <v>53</v>
      </c>
      <c r="B39" s="16"/>
      <c r="C39" s="25" t="s">
        <v>55</v>
      </c>
      <c r="D39" s="17">
        <f>SUM(D38)</f>
        <v>0</v>
      </c>
      <c r="E39" s="17">
        <f t="shared" ref="E39:J39" si="6">SUM(E38)</f>
        <v>0</v>
      </c>
      <c r="F39" s="17">
        <f t="shared" si="6"/>
        <v>0</v>
      </c>
      <c r="G39" s="17">
        <f t="shared" si="6"/>
        <v>6000</v>
      </c>
      <c r="H39" s="17">
        <f t="shared" si="6"/>
        <v>0</v>
      </c>
      <c r="I39" s="17">
        <f t="shared" si="6"/>
        <v>0</v>
      </c>
      <c r="J39" s="17">
        <f t="shared" si="6"/>
        <v>0</v>
      </c>
      <c r="K39" s="17">
        <f>D39+E39+F39+G39+H39+I39+J39</f>
        <v>6000</v>
      </c>
    </row>
    <row r="40" spans="1:11" s="1" customFormat="1">
      <c r="C40" s="26"/>
    </row>
    <row r="41" spans="1:11" s="1" customFormat="1">
      <c r="A41" s="4"/>
      <c r="B41" s="5"/>
      <c r="C41" s="23"/>
      <c r="D41" s="6" t="s">
        <v>1</v>
      </c>
      <c r="E41" s="6" t="s">
        <v>2</v>
      </c>
      <c r="F41" s="6" t="s">
        <v>3</v>
      </c>
      <c r="G41" s="6" t="s">
        <v>4</v>
      </c>
      <c r="H41" s="6" t="s">
        <v>5</v>
      </c>
      <c r="I41" s="6" t="s">
        <v>6</v>
      </c>
      <c r="J41" s="6" t="s">
        <v>7</v>
      </c>
      <c r="K41" s="7"/>
    </row>
    <row r="42" spans="1:11" s="1" customFormat="1" ht="27.6">
      <c r="A42" s="4"/>
      <c r="B42" s="8" t="s">
        <v>56</v>
      </c>
      <c r="C42" s="24" t="s">
        <v>57</v>
      </c>
      <c r="D42" s="9" t="s">
        <v>9</v>
      </c>
      <c r="E42" s="9" t="s">
        <v>10</v>
      </c>
      <c r="F42" s="9" t="s">
        <v>11</v>
      </c>
      <c r="G42" s="9" t="s">
        <v>12</v>
      </c>
      <c r="H42" s="9" t="s">
        <v>13</v>
      </c>
      <c r="I42" s="9" t="s">
        <v>14</v>
      </c>
      <c r="J42" s="9" t="s">
        <v>15</v>
      </c>
      <c r="K42" s="10"/>
    </row>
    <row r="43" spans="1:11" s="1" customFormat="1" ht="27.6">
      <c r="A43" s="11" t="s">
        <v>58</v>
      </c>
      <c r="B43" s="12" t="s">
        <v>31</v>
      </c>
      <c r="C43" s="13" t="s">
        <v>59</v>
      </c>
      <c r="D43" s="14" t="s">
        <v>20</v>
      </c>
      <c r="E43" s="14" t="s">
        <v>20</v>
      </c>
      <c r="F43" s="14" t="s">
        <v>20</v>
      </c>
      <c r="G43" s="14">
        <v>5000</v>
      </c>
      <c r="H43" s="14" t="s">
        <v>20</v>
      </c>
      <c r="I43" s="14" t="s">
        <v>20</v>
      </c>
      <c r="J43" s="14" t="s">
        <v>20</v>
      </c>
      <c r="K43" s="14">
        <f>D43+E43+F43+G43+H43+I43+J43</f>
        <v>5000</v>
      </c>
    </row>
    <row r="44" spans="1:11" s="1" customFormat="1" ht="27.6">
      <c r="A44" s="6" t="s">
        <v>58</v>
      </c>
      <c r="B44" s="16"/>
      <c r="C44" s="25" t="s">
        <v>60</v>
      </c>
      <c r="D44" s="17">
        <f>SUM(D43)</f>
        <v>0</v>
      </c>
      <c r="E44" s="17">
        <f t="shared" ref="E44:J44" si="7">SUM(E43)</f>
        <v>0</v>
      </c>
      <c r="F44" s="17">
        <f t="shared" si="7"/>
        <v>0</v>
      </c>
      <c r="G44" s="17">
        <f t="shared" si="7"/>
        <v>5000</v>
      </c>
      <c r="H44" s="17">
        <f t="shared" si="7"/>
        <v>0</v>
      </c>
      <c r="I44" s="17">
        <f t="shared" si="7"/>
        <v>0</v>
      </c>
      <c r="J44" s="17">
        <f t="shared" si="7"/>
        <v>0</v>
      </c>
      <c r="K44" s="17">
        <f>D44+E44+F44+G44+H44+I44+J44</f>
        <v>5000</v>
      </c>
    </row>
    <row r="45" spans="1:11" s="1" customFormat="1">
      <c r="C45" s="26"/>
    </row>
    <row r="46" spans="1:11" s="1" customFormat="1">
      <c r="A46" s="4"/>
      <c r="B46" s="5"/>
      <c r="C46" s="23"/>
      <c r="D46" s="6" t="s">
        <v>1</v>
      </c>
      <c r="E46" s="6" t="s">
        <v>2</v>
      </c>
      <c r="F46" s="6" t="s">
        <v>3</v>
      </c>
      <c r="G46" s="6" t="s">
        <v>4</v>
      </c>
      <c r="H46" s="6" t="s">
        <v>5</v>
      </c>
      <c r="I46" s="6" t="s">
        <v>6</v>
      </c>
      <c r="J46" s="6" t="s">
        <v>7</v>
      </c>
      <c r="K46" s="7"/>
    </row>
    <row r="47" spans="1:11" s="1" customFormat="1" ht="27.6">
      <c r="A47" s="4"/>
      <c r="B47" s="8" t="s">
        <v>61</v>
      </c>
      <c r="C47" s="24" t="s">
        <v>62</v>
      </c>
      <c r="D47" s="9" t="s">
        <v>9</v>
      </c>
      <c r="E47" s="9" t="s">
        <v>10</v>
      </c>
      <c r="F47" s="9" t="s">
        <v>11</v>
      </c>
      <c r="G47" s="9" t="s">
        <v>12</v>
      </c>
      <c r="H47" s="9" t="s">
        <v>13</v>
      </c>
      <c r="I47" s="9" t="s">
        <v>14</v>
      </c>
      <c r="J47" s="9" t="s">
        <v>15</v>
      </c>
      <c r="K47" s="10"/>
    </row>
    <row r="48" spans="1:11" s="1" customFormat="1">
      <c r="A48" s="11" t="s">
        <v>63</v>
      </c>
      <c r="B48" s="12" t="s">
        <v>21</v>
      </c>
      <c r="C48" s="13" t="s">
        <v>64</v>
      </c>
      <c r="D48" s="14" t="s">
        <v>20</v>
      </c>
      <c r="E48" s="14" t="s">
        <v>20</v>
      </c>
      <c r="F48" s="14" t="s">
        <v>20</v>
      </c>
      <c r="G48" s="14">
        <v>50000</v>
      </c>
      <c r="H48" s="14" t="s">
        <v>20</v>
      </c>
      <c r="I48" s="14" t="s">
        <v>20</v>
      </c>
      <c r="J48" s="14" t="s">
        <v>20</v>
      </c>
      <c r="K48" s="14">
        <f>D48+E48+F48+G48+H48+I48+J48</f>
        <v>50000</v>
      </c>
    </row>
    <row r="49" spans="1:11" s="1" customFormat="1">
      <c r="A49" s="15"/>
      <c r="B49" s="12" t="s">
        <v>23</v>
      </c>
      <c r="C49" s="13" t="s">
        <v>65</v>
      </c>
      <c r="D49" s="14" t="s">
        <v>20</v>
      </c>
      <c r="E49" s="14" t="s">
        <v>20</v>
      </c>
      <c r="F49" s="14" t="s">
        <v>20</v>
      </c>
      <c r="G49" s="14">
        <v>100000</v>
      </c>
      <c r="H49" s="14" t="s">
        <v>20</v>
      </c>
      <c r="I49" s="14" t="s">
        <v>20</v>
      </c>
      <c r="J49" s="14" t="s">
        <v>20</v>
      </c>
      <c r="K49" s="14">
        <f>D49+E49+F49+G49+H49+I49+J49</f>
        <v>100000</v>
      </c>
    </row>
    <row r="50" spans="1:11" s="1" customFormat="1" ht="27.6">
      <c r="A50" s="6" t="s">
        <v>63</v>
      </c>
      <c r="B50" s="16"/>
      <c r="C50" s="25" t="s">
        <v>66</v>
      </c>
      <c r="D50" s="17">
        <f>SUM(D48:D49)</f>
        <v>0</v>
      </c>
      <c r="E50" s="17">
        <f t="shared" ref="E50:J50" si="8">SUM(E48:E49)</f>
        <v>0</v>
      </c>
      <c r="F50" s="17">
        <f t="shared" si="8"/>
        <v>0</v>
      </c>
      <c r="G50" s="17">
        <f t="shared" si="8"/>
        <v>150000</v>
      </c>
      <c r="H50" s="17">
        <f t="shared" si="8"/>
        <v>0</v>
      </c>
      <c r="I50" s="17">
        <f t="shared" si="8"/>
        <v>0</v>
      </c>
      <c r="J50" s="17">
        <f t="shared" si="8"/>
        <v>0</v>
      </c>
      <c r="K50" s="17">
        <f>D50+E50+F50+G50+H50+I50+J50</f>
        <v>150000</v>
      </c>
    </row>
    <row r="51" spans="1:11" s="1" customFormat="1">
      <c r="C51" s="26"/>
    </row>
    <row r="52" spans="1:11" s="1" customFormat="1" ht="27.6">
      <c r="B52" s="8" t="s">
        <v>228</v>
      </c>
      <c r="C52" s="24" t="s">
        <v>229</v>
      </c>
      <c r="D52" s="9" t="s">
        <v>9</v>
      </c>
      <c r="E52" s="9" t="s">
        <v>10</v>
      </c>
      <c r="F52" s="9" t="s">
        <v>11</v>
      </c>
      <c r="G52" s="9" t="s">
        <v>12</v>
      </c>
      <c r="H52" s="9" t="s">
        <v>13</v>
      </c>
      <c r="I52" s="9" t="s">
        <v>14</v>
      </c>
      <c r="J52" s="9" t="s">
        <v>15</v>
      </c>
      <c r="K52" s="10"/>
    </row>
    <row r="53" spans="1:11" s="1" customFormat="1">
      <c r="B53" s="12" t="s">
        <v>21</v>
      </c>
      <c r="C53" s="13" t="s">
        <v>230</v>
      </c>
      <c r="D53" s="14" t="s">
        <v>20</v>
      </c>
      <c r="E53" s="14" t="s">
        <v>20</v>
      </c>
      <c r="F53" s="14" t="s">
        <v>20</v>
      </c>
      <c r="G53" s="14">
        <v>100000</v>
      </c>
      <c r="H53" s="14" t="s">
        <v>20</v>
      </c>
      <c r="I53" s="14" t="s">
        <v>20</v>
      </c>
      <c r="J53" s="14" t="s">
        <v>20</v>
      </c>
      <c r="K53" s="14">
        <f>D53+E53+F53+G53+H53+I53+J53</f>
        <v>100000</v>
      </c>
    </row>
    <row r="54" spans="1:11" s="1" customFormat="1" ht="27.6">
      <c r="B54" s="16"/>
      <c r="C54" s="25" t="s">
        <v>231</v>
      </c>
      <c r="D54" s="17">
        <f t="shared" ref="D54:J54" si="9">SUM(D52:D53)</f>
        <v>0</v>
      </c>
      <c r="E54" s="17">
        <f t="shared" si="9"/>
        <v>0</v>
      </c>
      <c r="F54" s="17">
        <f t="shared" si="9"/>
        <v>0</v>
      </c>
      <c r="G54" s="17">
        <f t="shared" si="9"/>
        <v>100000</v>
      </c>
      <c r="H54" s="17">
        <f t="shared" si="9"/>
        <v>0</v>
      </c>
      <c r="I54" s="17">
        <f t="shared" si="9"/>
        <v>0</v>
      </c>
      <c r="J54" s="17">
        <f t="shared" si="9"/>
        <v>0</v>
      </c>
      <c r="K54" s="17">
        <f>D54+E54+F54+G54+H54+I54+J54</f>
        <v>100000</v>
      </c>
    </row>
    <row r="55" spans="1:11" s="1" customFormat="1">
      <c r="C55" s="26"/>
    </row>
    <row r="56" spans="1:11" s="1" customFormat="1" ht="27.6">
      <c r="A56" s="4"/>
      <c r="B56" s="8" t="s">
        <v>67</v>
      </c>
      <c r="C56" s="24" t="s">
        <v>68</v>
      </c>
      <c r="D56" s="9" t="s">
        <v>9</v>
      </c>
      <c r="E56" s="9" t="s">
        <v>10</v>
      </c>
      <c r="F56" s="9" t="s">
        <v>11</v>
      </c>
      <c r="G56" s="9" t="s">
        <v>12</v>
      </c>
      <c r="H56" s="9" t="s">
        <v>13</v>
      </c>
      <c r="I56" s="9" t="s">
        <v>14</v>
      </c>
      <c r="J56" s="9" t="s">
        <v>15</v>
      </c>
      <c r="K56" s="10"/>
    </row>
    <row r="57" spans="1:11" s="1" customFormat="1" ht="41.4">
      <c r="A57" s="11" t="s">
        <v>69</v>
      </c>
      <c r="B57" s="12" t="s">
        <v>21</v>
      </c>
      <c r="C57" s="13" t="s">
        <v>70</v>
      </c>
      <c r="D57" s="14" t="s">
        <v>20</v>
      </c>
      <c r="E57" s="14" t="s">
        <v>20</v>
      </c>
      <c r="F57" s="14" t="s">
        <v>20</v>
      </c>
      <c r="G57" s="14">
        <v>62000</v>
      </c>
      <c r="H57" s="14" t="s">
        <v>20</v>
      </c>
      <c r="I57" s="14" t="s">
        <v>20</v>
      </c>
      <c r="J57" s="14" t="s">
        <v>20</v>
      </c>
      <c r="K57" s="14">
        <f>D57+E57+F57+G57+H57+I57+J57</f>
        <v>62000</v>
      </c>
    </row>
    <row r="58" spans="1:11" s="1" customFormat="1" ht="27.6">
      <c r="A58" s="6" t="s">
        <v>69</v>
      </c>
      <c r="B58" s="16"/>
      <c r="C58" s="25" t="s">
        <v>71</v>
      </c>
      <c r="D58" s="17">
        <f>SUM(D57)</f>
        <v>0</v>
      </c>
      <c r="E58" s="17">
        <f t="shared" ref="E58:J58" si="10">SUM(E57)</f>
        <v>0</v>
      </c>
      <c r="F58" s="17">
        <f t="shared" si="10"/>
        <v>0</v>
      </c>
      <c r="G58" s="17">
        <f t="shared" si="10"/>
        <v>62000</v>
      </c>
      <c r="H58" s="17">
        <f t="shared" si="10"/>
        <v>0</v>
      </c>
      <c r="I58" s="17">
        <f t="shared" si="10"/>
        <v>0</v>
      </c>
      <c r="J58" s="17">
        <f t="shared" si="10"/>
        <v>0</v>
      </c>
      <c r="K58" s="17">
        <f>D58+E58+F58+G58+H58+I58+J58</f>
        <v>62000</v>
      </c>
    </row>
    <row r="59" spans="1:11" s="1" customFormat="1">
      <c r="C59" s="26"/>
    </row>
    <row r="60" spans="1:11" s="1" customFormat="1">
      <c r="A60" s="4"/>
      <c r="B60" s="5"/>
      <c r="C60" s="23"/>
      <c r="D60" s="6" t="s">
        <v>1</v>
      </c>
      <c r="E60" s="6" t="s">
        <v>2</v>
      </c>
      <c r="F60" s="6" t="s">
        <v>3</v>
      </c>
      <c r="G60" s="6" t="s">
        <v>4</v>
      </c>
      <c r="H60" s="6" t="s">
        <v>5</v>
      </c>
      <c r="I60" s="6" t="s">
        <v>6</v>
      </c>
      <c r="J60" s="6" t="s">
        <v>7</v>
      </c>
      <c r="K60" s="7"/>
    </row>
    <row r="61" spans="1:11" s="1" customFormat="1">
      <c r="A61" s="4"/>
      <c r="B61" s="8" t="s">
        <v>72</v>
      </c>
      <c r="C61" s="24" t="s">
        <v>73</v>
      </c>
      <c r="D61" s="9" t="s">
        <v>9</v>
      </c>
      <c r="E61" s="9" t="s">
        <v>10</v>
      </c>
      <c r="F61" s="9" t="s">
        <v>11</v>
      </c>
      <c r="G61" s="9" t="s">
        <v>12</v>
      </c>
      <c r="H61" s="9" t="s">
        <v>13</v>
      </c>
      <c r="I61" s="9" t="s">
        <v>14</v>
      </c>
      <c r="J61" s="9" t="s">
        <v>15</v>
      </c>
      <c r="K61" s="10"/>
    </row>
    <row r="62" spans="1:11" s="1" customFormat="1">
      <c r="A62" s="11" t="s">
        <v>74</v>
      </c>
      <c r="B62" s="12" t="s">
        <v>17</v>
      </c>
      <c r="C62" s="13" t="s">
        <v>75</v>
      </c>
      <c r="D62" s="14" t="s">
        <v>20</v>
      </c>
      <c r="E62" s="14" t="s">
        <v>20</v>
      </c>
      <c r="F62" s="14" t="s">
        <v>20</v>
      </c>
      <c r="G62" s="14" t="s">
        <v>20</v>
      </c>
      <c r="H62" s="14" t="s">
        <v>20</v>
      </c>
      <c r="I62" s="14" t="s">
        <v>20</v>
      </c>
      <c r="J62" s="14">
        <v>142500</v>
      </c>
      <c r="K62" s="14">
        <f>D62+E62+F62+G62+H62+I62+J62</f>
        <v>142500</v>
      </c>
    </row>
    <row r="63" spans="1:11" s="1" customFormat="1">
      <c r="A63" s="15"/>
      <c r="B63" s="12" t="s">
        <v>21</v>
      </c>
      <c r="C63" s="13" t="s">
        <v>76</v>
      </c>
      <c r="D63" s="14" t="s">
        <v>20</v>
      </c>
      <c r="E63" s="14" t="s">
        <v>20</v>
      </c>
      <c r="F63" s="14" t="s">
        <v>20</v>
      </c>
      <c r="G63" s="14" t="s">
        <v>20</v>
      </c>
      <c r="H63" s="14" t="s">
        <v>20</v>
      </c>
      <c r="I63" s="14" t="s">
        <v>20</v>
      </c>
      <c r="J63" s="14">
        <v>0</v>
      </c>
      <c r="K63" s="14">
        <f>D63+E63+F63+G63+H63+I63+J63</f>
        <v>0</v>
      </c>
    </row>
    <row r="64" spans="1:11" s="1" customFormat="1">
      <c r="A64" s="15"/>
      <c r="B64" s="12" t="s">
        <v>23</v>
      </c>
      <c r="C64" s="13" t="s">
        <v>77</v>
      </c>
      <c r="D64" s="14" t="s">
        <v>20</v>
      </c>
      <c r="E64" s="14" t="s">
        <v>20</v>
      </c>
      <c r="F64" s="14" t="s">
        <v>20</v>
      </c>
      <c r="G64" s="14" t="s">
        <v>20</v>
      </c>
      <c r="H64" s="14" t="s">
        <v>20</v>
      </c>
      <c r="I64" s="14" t="s">
        <v>20</v>
      </c>
      <c r="J64" s="14">
        <f>100000-100000</f>
        <v>0</v>
      </c>
      <c r="K64" s="14">
        <f>D64+E64+F64+G64+H64+I64+J64</f>
        <v>0</v>
      </c>
    </row>
    <row r="65" spans="1:12" s="1" customFormat="1">
      <c r="A65" s="6" t="s">
        <v>74</v>
      </c>
      <c r="B65" s="16"/>
      <c r="C65" s="25" t="s">
        <v>78</v>
      </c>
      <c r="D65" s="17">
        <f>SUM(D62:D64)</f>
        <v>0</v>
      </c>
      <c r="E65" s="17">
        <f t="shared" ref="E65:J65" si="11">SUM(E62:E64)</f>
        <v>0</v>
      </c>
      <c r="F65" s="17">
        <f t="shared" si="11"/>
        <v>0</v>
      </c>
      <c r="G65" s="17">
        <f t="shared" si="11"/>
        <v>0</v>
      </c>
      <c r="H65" s="17">
        <f t="shared" si="11"/>
        <v>0</v>
      </c>
      <c r="I65" s="17">
        <f t="shared" si="11"/>
        <v>0</v>
      </c>
      <c r="J65" s="17">
        <f t="shared" si="11"/>
        <v>142500</v>
      </c>
      <c r="K65" s="17">
        <f>D65+E65+F65+G65+H65+I65+J65</f>
        <v>142500</v>
      </c>
    </row>
    <row r="66" spans="1:12" s="1" customFormat="1">
      <c r="C66" s="26"/>
    </row>
    <row r="67" spans="1:12" s="1" customFormat="1">
      <c r="A67" s="18"/>
      <c r="B67" s="19"/>
      <c r="C67" s="27"/>
      <c r="D67" s="20"/>
      <c r="E67" s="20"/>
      <c r="F67" s="20"/>
      <c r="G67" s="20"/>
      <c r="H67" s="20"/>
      <c r="I67" s="20"/>
      <c r="J67" s="20"/>
      <c r="K67" s="20"/>
    </row>
    <row r="68" spans="1:12" s="1" customFormat="1">
      <c r="A68" s="18"/>
      <c r="B68" s="250" t="s">
        <v>79</v>
      </c>
      <c r="C68" s="250"/>
      <c r="D68" s="21">
        <f>D65+D58+D50+D44+D39+D34+D28+D20+D14+D24+D54</f>
        <v>253030</v>
      </c>
      <c r="E68" s="21">
        <f t="shared" ref="E68:K68" si="12">E65+E58+E50+E44+E39+E34+E28+E20+E14+E24+E54</f>
        <v>1168758.17</v>
      </c>
      <c r="F68" s="21">
        <f t="shared" si="12"/>
        <v>12508156.25</v>
      </c>
      <c r="G68" s="21">
        <f t="shared" si="12"/>
        <v>8509750</v>
      </c>
      <c r="H68" s="21">
        <f t="shared" si="12"/>
        <v>500</v>
      </c>
      <c r="I68" s="21">
        <f t="shared" si="12"/>
        <v>141176.07</v>
      </c>
      <c r="J68" s="21">
        <f t="shared" si="12"/>
        <v>232035.01</v>
      </c>
      <c r="K68" s="21">
        <f t="shared" si="12"/>
        <v>22813405.5</v>
      </c>
    </row>
    <row r="70" spans="1:12">
      <c r="D70" s="29"/>
      <c r="E70" s="29"/>
      <c r="F70" s="29"/>
      <c r="G70" s="29"/>
      <c r="H70" s="29"/>
      <c r="I70" s="29"/>
      <c r="J70" s="29"/>
      <c r="K70" s="29"/>
    </row>
    <row r="71" spans="1:12">
      <c r="D71" s="29"/>
      <c r="E71" s="29"/>
      <c r="F71" s="29"/>
      <c r="G71" s="29"/>
      <c r="H71" s="29"/>
      <c r="I71" s="29"/>
      <c r="J71" s="29"/>
      <c r="K71" s="29"/>
    </row>
    <row r="73" spans="1:12">
      <c r="D73" s="29"/>
      <c r="E73" s="29"/>
      <c r="F73" s="29"/>
      <c r="G73" s="29"/>
      <c r="H73" s="29"/>
      <c r="I73" s="29"/>
      <c r="J73" s="29"/>
      <c r="K73" s="29"/>
      <c r="L73" s="29"/>
    </row>
  </sheetData>
  <mergeCells count="3">
    <mergeCell ref="B2:C3"/>
    <mergeCell ref="B68:C68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  <rowBreaks count="1" manualBreakCount="1">
    <brk id="4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M71"/>
  <sheetViews>
    <sheetView view="pageBreakPreview" topLeftCell="A40" zoomScale="80" zoomScaleNormal="100" zoomScaleSheetLayoutView="80" workbookViewId="0">
      <selection activeCell="C71" sqref="C71:K71"/>
    </sheetView>
  </sheetViews>
  <sheetFormatPr defaultColWidth="9.109375" defaultRowHeight="13.8"/>
  <cols>
    <col min="1" max="1" width="5.5546875" style="28" customWidth="1"/>
    <col min="2" max="2" width="14.109375" style="28" customWidth="1"/>
    <col min="3" max="3" width="48.109375" style="29" customWidth="1"/>
    <col min="4" max="4" width="15.6640625" style="28" customWidth="1"/>
    <col min="5" max="5" width="18.88671875" style="28" customWidth="1"/>
    <col min="6" max="6" width="20.33203125" style="28" customWidth="1"/>
    <col min="7" max="7" width="19.33203125" style="28" customWidth="1"/>
    <col min="8" max="10" width="15.88671875" style="28" customWidth="1"/>
    <col min="11" max="11" width="21.109375" style="28" customWidth="1"/>
    <col min="12" max="12" width="30.33203125" style="28" customWidth="1"/>
    <col min="13" max="16384" width="9.109375" style="28"/>
  </cols>
  <sheetData>
    <row r="1" spans="1:12" s="1" customFormat="1" ht="45" customHeight="1">
      <c r="A1" s="251" t="s">
        <v>82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2"/>
    </row>
    <row r="2" spans="1:12" s="1" customFormat="1" ht="55.2">
      <c r="B2" s="249" t="s">
        <v>0</v>
      </c>
      <c r="C2" s="249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2" t="s">
        <v>8</v>
      </c>
    </row>
    <row r="3" spans="1:12" s="1" customFormat="1">
      <c r="B3" s="249"/>
      <c r="C3" s="249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</row>
    <row r="4" spans="1:12" s="1" customFormat="1">
      <c r="A4" s="4"/>
      <c r="B4" s="5"/>
      <c r="C4" s="23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7"/>
    </row>
    <row r="5" spans="1:12" s="1" customFormat="1" ht="27.6">
      <c r="A5" s="4"/>
      <c r="B5" s="8" t="s">
        <v>17</v>
      </c>
      <c r="C5" s="24" t="s">
        <v>18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10"/>
    </row>
    <row r="6" spans="1:12" s="1" customFormat="1">
      <c r="A6" s="11" t="s">
        <v>16</v>
      </c>
      <c r="B6" s="12" t="s">
        <v>17</v>
      </c>
      <c r="C6" s="13" t="s">
        <v>19</v>
      </c>
      <c r="D6" s="14" t="s">
        <v>20</v>
      </c>
      <c r="E6" s="14">
        <v>948843</v>
      </c>
      <c r="F6" s="14">
        <v>7818025.3200000003</v>
      </c>
      <c r="G6" s="14">
        <f>7570550-51000</f>
        <v>7519550</v>
      </c>
      <c r="H6" s="14" t="s">
        <v>20</v>
      </c>
      <c r="I6" s="14" t="s">
        <v>20</v>
      </c>
      <c r="J6" s="14">
        <v>2000</v>
      </c>
      <c r="K6" s="14">
        <f t="shared" ref="K6:K12" si="0">D6+E6+F6+G6+H6+I6+J6</f>
        <v>16288418.32</v>
      </c>
    </row>
    <row r="7" spans="1:12" s="1" customFormat="1">
      <c r="A7" s="15"/>
      <c r="B7" s="12" t="s">
        <v>21</v>
      </c>
      <c r="C7" s="13" t="s">
        <v>22</v>
      </c>
      <c r="D7" s="14" t="s">
        <v>20</v>
      </c>
      <c r="E7" s="14" t="s">
        <v>20</v>
      </c>
      <c r="F7" s="14">
        <v>27090</v>
      </c>
      <c r="G7" s="14" t="s">
        <v>20</v>
      </c>
      <c r="H7" s="14" t="s">
        <v>20</v>
      </c>
      <c r="I7" s="14" t="s">
        <v>20</v>
      </c>
      <c r="J7" s="14" t="s">
        <v>20</v>
      </c>
      <c r="K7" s="14">
        <f t="shared" si="0"/>
        <v>27090</v>
      </c>
    </row>
    <row r="8" spans="1:12" s="1" customFormat="1" ht="27.6">
      <c r="A8" s="15"/>
      <c r="B8" s="12" t="s">
        <v>23</v>
      </c>
      <c r="C8" s="13" t="s">
        <v>24</v>
      </c>
      <c r="D8" s="14">
        <f>263000-9000</f>
        <v>254000</v>
      </c>
      <c r="E8" s="14">
        <v>9434.0499999999993</v>
      </c>
      <c r="F8" s="14">
        <v>2308956</v>
      </c>
      <c r="G8" s="14" t="s">
        <v>20</v>
      </c>
      <c r="H8" s="14" t="s">
        <v>20</v>
      </c>
      <c r="I8" s="14" t="s">
        <v>20</v>
      </c>
      <c r="J8" s="14">
        <v>63360.01</v>
      </c>
      <c r="K8" s="14">
        <f t="shared" si="0"/>
        <v>2635750.0599999996</v>
      </c>
    </row>
    <row r="9" spans="1:12" s="1" customFormat="1">
      <c r="A9" s="15"/>
      <c r="B9" s="12" t="s">
        <v>25</v>
      </c>
      <c r="C9" s="13" t="s">
        <v>26</v>
      </c>
      <c r="D9" s="14" t="s">
        <v>20</v>
      </c>
      <c r="E9" s="14">
        <v>210180</v>
      </c>
      <c r="F9" s="14">
        <v>26885</v>
      </c>
      <c r="G9" s="14" t="s">
        <v>20</v>
      </c>
      <c r="H9" s="14" t="s">
        <v>20</v>
      </c>
      <c r="I9" s="14" t="s">
        <v>20</v>
      </c>
      <c r="J9" s="14">
        <v>6000</v>
      </c>
      <c r="K9" s="14">
        <f t="shared" si="0"/>
        <v>243065</v>
      </c>
    </row>
    <row r="10" spans="1:12" s="1" customFormat="1">
      <c r="A10" s="15"/>
      <c r="B10" s="12" t="s">
        <v>27</v>
      </c>
      <c r="C10" s="13" t="s">
        <v>28</v>
      </c>
      <c r="D10" s="14" t="s">
        <v>20</v>
      </c>
      <c r="E10" s="14" t="s">
        <v>20</v>
      </c>
      <c r="F10" s="14">
        <v>372200</v>
      </c>
      <c r="G10" s="14" t="s">
        <v>20</v>
      </c>
      <c r="H10" s="14" t="s">
        <v>20</v>
      </c>
      <c r="I10" s="14" t="s">
        <v>20</v>
      </c>
      <c r="J10" s="14">
        <v>0</v>
      </c>
      <c r="K10" s="14">
        <f t="shared" si="0"/>
        <v>372200</v>
      </c>
    </row>
    <row r="11" spans="1:12" s="1" customFormat="1">
      <c r="A11" s="15"/>
      <c r="B11" s="12" t="s">
        <v>29</v>
      </c>
      <c r="C11" s="13" t="s">
        <v>30</v>
      </c>
      <c r="D11" s="14" t="s">
        <v>20</v>
      </c>
      <c r="E11" s="14" t="s">
        <v>20</v>
      </c>
      <c r="F11" s="14">
        <v>1092080.55</v>
      </c>
      <c r="G11" s="14" t="s">
        <v>20</v>
      </c>
      <c r="H11" s="14" t="s">
        <v>20</v>
      </c>
      <c r="I11" s="14" t="s">
        <v>20</v>
      </c>
      <c r="J11" s="14">
        <v>0</v>
      </c>
      <c r="K11" s="14">
        <f t="shared" si="0"/>
        <v>1092080.55</v>
      </c>
    </row>
    <row r="12" spans="1:12" s="1" customFormat="1">
      <c r="A12" s="15"/>
      <c r="B12" s="12" t="s">
        <v>31</v>
      </c>
      <c r="C12" s="13" t="s">
        <v>32</v>
      </c>
      <c r="D12" s="14">
        <v>630</v>
      </c>
      <c r="E12" s="14">
        <v>5120</v>
      </c>
      <c r="F12" s="14">
        <v>90300</v>
      </c>
      <c r="G12" s="14" t="s">
        <v>20</v>
      </c>
      <c r="H12" s="14" t="s">
        <v>20</v>
      </c>
      <c r="I12" s="14">
        <v>141176.07</v>
      </c>
      <c r="J12" s="14" t="s">
        <v>20</v>
      </c>
      <c r="K12" s="14">
        <f t="shared" si="0"/>
        <v>237226.07</v>
      </c>
    </row>
    <row r="13" spans="1:12" s="1" customFormat="1">
      <c r="A13" s="15"/>
      <c r="B13" s="12" t="s">
        <v>33</v>
      </c>
      <c r="C13" s="13" t="s">
        <v>34</v>
      </c>
      <c r="D13" s="14" t="s">
        <v>20</v>
      </c>
      <c r="E13" s="14">
        <v>204</v>
      </c>
      <c r="F13" s="14">
        <v>8796</v>
      </c>
      <c r="G13" s="14">
        <v>22200</v>
      </c>
      <c r="H13" s="14">
        <v>500</v>
      </c>
      <c r="I13" s="14" t="s">
        <v>20</v>
      </c>
      <c r="J13" s="14">
        <v>3600</v>
      </c>
      <c r="K13" s="14">
        <f>D13+E13+F13+G13+H13+I13+J13</f>
        <v>35300</v>
      </c>
    </row>
    <row r="14" spans="1:12" s="1" customFormat="1" ht="27.6">
      <c r="A14" s="6" t="s">
        <v>16</v>
      </c>
      <c r="B14" s="16"/>
      <c r="C14" s="25" t="s">
        <v>35</v>
      </c>
      <c r="D14" s="17">
        <f>SUM(D6:D13)</f>
        <v>254630</v>
      </c>
      <c r="E14" s="17">
        <f t="shared" ref="E14:J14" si="1">SUM(E6:E13)</f>
        <v>1173781.05</v>
      </c>
      <c r="F14" s="17">
        <f t="shared" si="1"/>
        <v>11744332.870000001</v>
      </c>
      <c r="G14" s="17">
        <f t="shared" si="1"/>
        <v>7541750</v>
      </c>
      <c r="H14" s="17">
        <f t="shared" si="1"/>
        <v>500</v>
      </c>
      <c r="I14" s="17">
        <f t="shared" si="1"/>
        <v>141176.07</v>
      </c>
      <c r="J14" s="17">
        <f t="shared" si="1"/>
        <v>74960.010000000009</v>
      </c>
      <c r="K14" s="17">
        <f>D14+E14+F14+G14+H14+I14+J14</f>
        <v>20931130.000000004</v>
      </c>
    </row>
    <row r="15" spans="1:12" s="1" customFormat="1">
      <c r="C15" s="26"/>
    </row>
    <row r="16" spans="1:12" s="1" customFormat="1">
      <c r="A16" s="4"/>
      <c r="B16" s="5"/>
      <c r="C16" s="23"/>
      <c r="D16" s="6" t="s">
        <v>1</v>
      </c>
      <c r="E16" s="6" t="s">
        <v>2</v>
      </c>
      <c r="F16" s="6" t="s">
        <v>3</v>
      </c>
      <c r="G16" s="6" t="s">
        <v>4</v>
      </c>
      <c r="H16" s="6" t="s">
        <v>5</v>
      </c>
      <c r="I16" s="6" t="s">
        <v>6</v>
      </c>
      <c r="J16" s="6" t="s">
        <v>7</v>
      </c>
      <c r="K16" s="7"/>
    </row>
    <row r="17" spans="1:11" s="1" customFormat="1" ht="27.6">
      <c r="A17" s="4"/>
      <c r="B17" s="8" t="s">
        <v>25</v>
      </c>
      <c r="C17" s="24" t="s">
        <v>36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15</v>
      </c>
      <c r="K17" s="10"/>
    </row>
    <row r="18" spans="1:11" s="1" customFormat="1">
      <c r="A18" s="11" t="s">
        <v>37</v>
      </c>
      <c r="B18" s="12" t="s">
        <v>17</v>
      </c>
      <c r="C18" s="13" t="s">
        <v>38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  <c r="I18" s="14" t="s">
        <v>20</v>
      </c>
      <c r="J18" s="14">
        <v>0</v>
      </c>
      <c r="K18" s="14">
        <f>D18+E18+F18+G18+H18+I18+J18</f>
        <v>0</v>
      </c>
    </row>
    <row r="19" spans="1:11" s="1" customFormat="1" ht="27.6">
      <c r="A19" s="15"/>
      <c r="B19" s="12" t="s">
        <v>21</v>
      </c>
      <c r="C19" s="13" t="s">
        <v>39</v>
      </c>
      <c r="D19" s="14" t="s">
        <v>20</v>
      </c>
      <c r="E19" s="14" t="s">
        <v>20</v>
      </c>
      <c r="F19" s="14">
        <f>681334-5000</f>
        <v>676334</v>
      </c>
      <c r="G19" s="14">
        <f>637000-35000</f>
        <v>602000</v>
      </c>
      <c r="H19" s="14" t="s">
        <v>20</v>
      </c>
      <c r="I19" s="14" t="s">
        <v>20</v>
      </c>
      <c r="J19" s="14">
        <v>0</v>
      </c>
      <c r="K19" s="14">
        <f>D19+E19+F19+G19+H19+I19+J19</f>
        <v>1278334</v>
      </c>
    </row>
    <row r="20" spans="1:11" s="1" customFormat="1" ht="27.6">
      <c r="A20" s="6" t="s">
        <v>37</v>
      </c>
      <c r="B20" s="16"/>
      <c r="C20" s="25" t="s">
        <v>40</v>
      </c>
      <c r="D20" s="17">
        <f>SUM(D18:D19)</f>
        <v>0</v>
      </c>
      <c r="E20" s="17">
        <f t="shared" ref="E20:J20" si="2">SUM(E18:E19)</f>
        <v>0</v>
      </c>
      <c r="F20" s="17">
        <f t="shared" si="2"/>
        <v>676334</v>
      </c>
      <c r="G20" s="17">
        <f t="shared" si="2"/>
        <v>602000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>D20+E20+F20+G20+H20+I20+J20</f>
        <v>1278334</v>
      </c>
    </row>
    <row r="21" spans="1:11" s="1" customFormat="1">
      <c r="C21" s="26"/>
    </row>
    <row r="22" spans="1:11" s="1" customFormat="1">
      <c r="A22" s="4"/>
      <c r="B22" s="5"/>
      <c r="C22" s="23"/>
      <c r="D22" s="6" t="s">
        <v>1</v>
      </c>
      <c r="E22" s="6" t="s">
        <v>2</v>
      </c>
      <c r="F22" s="6" t="s">
        <v>3</v>
      </c>
      <c r="G22" s="6" t="s">
        <v>4</v>
      </c>
      <c r="H22" s="6" t="s">
        <v>5</v>
      </c>
      <c r="I22" s="6" t="s">
        <v>6</v>
      </c>
      <c r="J22" s="6" t="s">
        <v>7</v>
      </c>
      <c r="K22" s="7"/>
    </row>
    <row r="23" spans="1:11" s="1" customFormat="1">
      <c r="A23" s="4"/>
      <c r="B23" s="8" t="s">
        <v>41</v>
      </c>
      <c r="C23" s="24" t="s">
        <v>42</v>
      </c>
      <c r="D23" s="9" t="s">
        <v>9</v>
      </c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9" t="s">
        <v>15</v>
      </c>
      <c r="K23" s="10"/>
    </row>
    <row r="24" spans="1:11" s="1" customFormat="1">
      <c r="A24" s="11" t="s">
        <v>43</v>
      </c>
      <c r="B24" s="12" t="s">
        <v>17</v>
      </c>
      <c r="C24" s="13" t="s">
        <v>44</v>
      </c>
      <c r="D24" s="14" t="s">
        <v>20</v>
      </c>
      <c r="E24" s="14" t="s">
        <v>20</v>
      </c>
      <c r="F24" s="14" t="s">
        <v>20</v>
      </c>
      <c r="G24" s="14">
        <v>0</v>
      </c>
      <c r="H24" s="14" t="s">
        <v>20</v>
      </c>
      <c r="I24" s="14" t="s">
        <v>20</v>
      </c>
      <c r="J24" s="14" t="s">
        <v>20</v>
      </c>
      <c r="K24" s="14">
        <v>0</v>
      </c>
    </row>
    <row r="25" spans="1:11" s="1" customFormat="1">
      <c r="A25" s="6" t="s">
        <v>43</v>
      </c>
      <c r="B25" s="16"/>
      <c r="C25" s="25" t="s">
        <v>45</v>
      </c>
      <c r="D25" s="17">
        <f>SUM(D24)</f>
        <v>0</v>
      </c>
      <c r="E25" s="17">
        <f t="shared" ref="E25:J25" si="3">SUM(E24)</f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v>0</v>
      </c>
    </row>
    <row r="26" spans="1:11" s="1" customFormat="1">
      <c r="C26" s="26"/>
    </row>
    <row r="27" spans="1:11" s="1" customFormat="1">
      <c r="A27" s="4"/>
      <c r="B27" s="5"/>
      <c r="C27" s="23"/>
      <c r="D27" s="6" t="s">
        <v>1</v>
      </c>
      <c r="E27" s="6" t="s">
        <v>2</v>
      </c>
      <c r="F27" s="6" t="s">
        <v>3</v>
      </c>
      <c r="G27" s="6" t="s">
        <v>4</v>
      </c>
      <c r="H27" s="6" t="s">
        <v>5</v>
      </c>
      <c r="I27" s="6" t="s">
        <v>6</v>
      </c>
      <c r="J27" s="6" t="s">
        <v>7</v>
      </c>
      <c r="K27" s="7"/>
    </row>
    <row r="28" spans="1:11" s="1" customFormat="1" ht="27.6">
      <c r="A28" s="4"/>
      <c r="B28" s="8" t="s">
        <v>46</v>
      </c>
      <c r="C28" s="24" t="s">
        <v>47</v>
      </c>
      <c r="D28" s="9" t="s">
        <v>9</v>
      </c>
      <c r="E28" s="9" t="s">
        <v>10</v>
      </c>
      <c r="F28" s="9" t="s">
        <v>11</v>
      </c>
      <c r="G28" s="9" t="s">
        <v>12</v>
      </c>
      <c r="H28" s="9" t="s">
        <v>13</v>
      </c>
      <c r="I28" s="9" t="s">
        <v>14</v>
      </c>
      <c r="J28" s="9" t="s">
        <v>15</v>
      </c>
      <c r="K28" s="10"/>
    </row>
    <row r="29" spans="1:11" s="1" customFormat="1">
      <c r="A29" s="11" t="s">
        <v>48</v>
      </c>
      <c r="B29" s="12" t="s">
        <v>21</v>
      </c>
      <c r="C29" s="13" t="s">
        <v>49</v>
      </c>
      <c r="D29" s="14" t="s">
        <v>20</v>
      </c>
      <c r="E29" s="14" t="s">
        <v>20</v>
      </c>
      <c r="F29" s="14" t="s">
        <v>20</v>
      </c>
      <c r="G29" s="14">
        <v>0</v>
      </c>
      <c r="H29" s="14" t="s">
        <v>20</v>
      </c>
      <c r="I29" s="14" t="s">
        <v>20</v>
      </c>
      <c r="J29" s="14" t="s">
        <v>20</v>
      </c>
      <c r="K29" s="14">
        <f>D29+E29+F29+G29+H29+I29+J29</f>
        <v>0</v>
      </c>
    </row>
    <row r="30" spans="1:11" s="1" customFormat="1">
      <c r="A30" s="15"/>
      <c r="B30" s="12" t="s">
        <v>23</v>
      </c>
      <c r="C30" s="13" t="s">
        <v>50</v>
      </c>
      <c r="D30" s="14" t="s">
        <v>20</v>
      </c>
      <c r="E30" s="14" t="s">
        <v>20</v>
      </c>
      <c r="F30" s="14">
        <v>3400</v>
      </c>
      <c r="G30" s="14">
        <v>0</v>
      </c>
      <c r="H30" s="14" t="s">
        <v>20</v>
      </c>
      <c r="I30" s="14" t="s">
        <v>20</v>
      </c>
      <c r="J30" s="14" t="s">
        <v>20</v>
      </c>
      <c r="K30" s="14">
        <f>D30+E30+F30+G30+H30+I30+J30</f>
        <v>3400</v>
      </c>
    </row>
    <row r="31" spans="1:11" s="1" customFormat="1" ht="27.6">
      <c r="A31" s="6" t="s">
        <v>48</v>
      </c>
      <c r="B31" s="16"/>
      <c r="C31" s="25" t="s">
        <v>51</v>
      </c>
      <c r="D31" s="17">
        <f>SUM(D29:D30)</f>
        <v>0</v>
      </c>
      <c r="E31" s="17">
        <f t="shared" ref="E31:J31" si="4">SUM(E29:E30)</f>
        <v>0</v>
      </c>
      <c r="F31" s="17">
        <f t="shared" si="4"/>
        <v>3400</v>
      </c>
      <c r="G31" s="17">
        <f t="shared" si="4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>D31+E31+F31+G31+H31+I31+J31</f>
        <v>3400</v>
      </c>
    </row>
    <row r="32" spans="1:11" s="1" customFormat="1">
      <c r="C32" s="26"/>
    </row>
    <row r="33" spans="1:11" s="1" customFormat="1">
      <c r="A33" s="4"/>
      <c r="B33" s="5"/>
      <c r="C33" s="23"/>
      <c r="D33" s="6" t="s">
        <v>1</v>
      </c>
      <c r="E33" s="6" t="s">
        <v>2</v>
      </c>
      <c r="F33" s="6" t="s">
        <v>3</v>
      </c>
      <c r="G33" s="6" t="s">
        <v>4</v>
      </c>
      <c r="H33" s="6" t="s">
        <v>5</v>
      </c>
      <c r="I33" s="6" t="s">
        <v>6</v>
      </c>
      <c r="J33" s="6" t="s">
        <v>7</v>
      </c>
      <c r="K33" s="7"/>
    </row>
    <row r="34" spans="1:11" s="1" customFormat="1">
      <c r="A34" s="4"/>
      <c r="B34" s="8" t="s">
        <v>33</v>
      </c>
      <c r="C34" s="24" t="s">
        <v>52</v>
      </c>
      <c r="D34" s="9" t="s">
        <v>9</v>
      </c>
      <c r="E34" s="9" t="s">
        <v>10</v>
      </c>
      <c r="F34" s="9" t="s">
        <v>11</v>
      </c>
      <c r="G34" s="9" t="s">
        <v>12</v>
      </c>
      <c r="H34" s="9" t="s">
        <v>13</v>
      </c>
      <c r="I34" s="9" t="s">
        <v>14</v>
      </c>
      <c r="J34" s="9" t="s">
        <v>15</v>
      </c>
      <c r="K34" s="10"/>
    </row>
    <row r="35" spans="1:11" s="1" customFormat="1">
      <c r="A35" s="11" t="s">
        <v>53</v>
      </c>
      <c r="B35" s="12" t="s">
        <v>21</v>
      </c>
      <c r="C35" s="13" t="s">
        <v>54</v>
      </c>
      <c r="D35" s="14" t="s">
        <v>20</v>
      </c>
      <c r="E35" s="14" t="s">
        <v>20</v>
      </c>
      <c r="F35" s="14" t="s">
        <v>20</v>
      </c>
      <c r="G35" s="14">
        <v>6000</v>
      </c>
      <c r="H35" s="14" t="s">
        <v>20</v>
      </c>
      <c r="I35" s="14" t="s">
        <v>20</v>
      </c>
      <c r="J35" s="14" t="s">
        <v>20</v>
      </c>
      <c r="K35" s="14">
        <f>D35+E35+F35+G35+H35+I35+J35</f>
        <v>6000</v>
      </c>
    </row>
    <row r="36" spans="1:11" s="1" customFormat="1">
      <c r="A36" s="6" t="s">
        <v>53</v>
      </c>
      <c r="B36" s="16"/>
      <c r="C36" s="25" t="s">
        <v>55</v>
      </c>
      <c r="D36" s="17">
        <f>SUM(D35)</f>
        <v>0</v>
      </c>
      <c r="E36" s="17">
        <f t="shared" ref="E36:J36" si="5">SUM(E35)</f>
        <v>0</v>
      </c>
      <c r="F36" s="17">
        <f t="shared" si="5"/>
        <v>0</v>
      </c>
      <c r="G36" s="17">
        <f t="shared" si="5"/>
        <v>6000</v>
      </c>
      <c r="H36" s="17">
        <f t="shared" si="5"/>
        <v>0</v>
      </c>
      <c r="I36" s="17">
        <f t="shared" si="5"/>
        <v>0</v>
      </c>
      <c r="J36" s="17">
        <f t="shared" si="5"/>
        <v>0</v>
      </c>
      <c r="K36" s="17">
        <f>D36+E36+F36+G36+H36+I36+J36</f>
        <v>6000</v>
      </c>
    </row>
    <row r="37" spans="1:11" s="1" customFormat="1">
      <c r="C37" s="26"/>
    </row>
    <row r="38" spans="1:11" s="1" customFormat="1">
      <c r="A38" s="4"/>
      <c r="B38" s="5"/>
      <c r="C38" s="23"/>
      <c r="D38" s="6" t="s">
        <v>1</v>
      </c>
      <c r="E38" s="6" t="s">
        <v>2</v>
      </c>
      <c r="F38" s="6" t="s">
        <v>3</v>
      </c>
      <c r="G38" s="6" t="s">
        <v>4</v>
      </c>
      <c r="H38" s="6" t="s">
        <v>5</v>
      </c>
      <c r="I38" s="6" t="s">
        <v>6</v>
      </c>
      <c r="J38" s="6" t="s">
        <v>7</v>
      </c>
      <c r="K38" s="7"/>
    </row>
    <row r="39" spans="1:11" s="1" customFormat="1" ht="27.6">
      <c r="A39" s="4"/>
      <c r="B39" s="8" t="s">
        <v>56</v>
      </c>
      <c r="C39" s="24" t="s">
        <v>57</v>
      </c>
      <c r="D39" s="9" t="s">
        <v>9</v>
      </c>
      <c r="E39" s="9" t="s">
        <v>10</v>
      </c>
      <c r="F39" s="9" t="s">
        <v>11</v>
      </c>
      <c r="G39" s="9" t="s">
        <v>12</v>
      </c>
      <c r="H39" s="9" t="s">
        <v>13</v>
      </c>
      <c r="I39" s="9" t="s">
        <v>14</v>
      </c>
      <c r="J39" s="9" t="s">
        <v>15</v>
      </c>
      <c r="K39" s="10"/>
    </row>
    <row r="40" spans="1:11" s="1" customFormat="1" ht="27.6">
      <c r="A40" s="11" t="s">
        <v>58</v>
      </c>
      <c r="B40" s="12" t="s">
        <v>31</v>
      </c>
      <c r="C40" s="13" t="s">
        <v>59</v>
      </c>
      <c r="D40" s="14" t="s">
        <v>20</v>
      </c>
      <c r="E40" s="14" t="s">
        <v>20</v>
      </c>
      <c r="F40" s="14" t="s">
        <v>20</v>
      </c>
      <c r="G40" s="14">
        <v>5000</v>
      </c>
      <c r="H40" s="14" t="s">
        <v>20</v>
      </c>
      <c r="I40" s="14" t="s">
        <v>20</v>
      </c>
      <c r="J40" s="14" t="s">
        <v>20</v>
      </c>
      <c r="K40" s="14">
        <f>D40+E40+F40+G40+H40+I40+J40</f>
        <v>5000</v>
      </c>
    </row>
    <row r="41" spans="1:11" s="1" customFormat="1" ht="27.6">
      <c r="A41" s="6" t="s">
        <v>58</v>
      </c>
      <c r="B41" s="16"/>
      <c r="C41" s="25" t="s">
        <v>60</v>
      </c>
      <c r="D41" s="17">
        <f>SUM(D40)</f>
        <v>0</v>
      </c>
      <c r="E41" s="17">
        <f t="shared" ref="E41:J41" si="6">SUM(E40)</f>
        <v>0</v>
      </c>
      <c r="F41" s="17">
        <f t="shared" si="6"/>
        <v>0</v>
      </c>
      <c r="G41" s="17">
        <f t="shared" si="6"/>
        <v>5000</v>
      </c>
      <c r="H41" s="17">
        <f t="shared" si="6"/>
        <v>0</v>
      </c>
      <c r="I41" s="17">
        <f t="shared" si="6"/>
        <v>0</v>
      </c>
      <c r="J41" s="17">
        <f t="shared" si="6"/>
        <v>0</v>
      </c>
      <c r="K41" s="17">
        <f>D41+E41+F41+G41+H41+I41+J41</f>
        <v>5000</v>
      </c>
    </row>
    <row r="42" spans="1:11" s="1" customFormat="1">
      <c r="C42" s="26"/>
    </row>
    <row r="43" spans="1:11" s="1" customFormat="1">
      <c r="A43" s="4"/>
      <c r="B43" s="5"/>
      <c r="C43" s="23"/>
      <c r="D43" s="6" t="s">
        <v>1</v>
      </c>
      <c r="E43" s="6" t="s">
        <v>2</v>
      </c>
      <c r="F43" s="6" t="s">
        <v>3</v>
      </c>
      <c r="G43" s="6" t="s">
        <v>4</v>
      </c>
      <c r="H43" s="6" t="s">
        <v>5</v>
      </c>
      <c r="I43" s="6" t="s">
        <v>6</v>
      </c>
      <c r="J43" s="6" t="s">
        <v>7</v>
      </c>
      <c r="K43" s="7"/>
    </row>
    <row r="44" spans="1:11" s="1" customFormat="1" ht="27.6">
      <c r="A44" s="4"/>
      <c r="B44" s="8" t="s">
        <v>61</v>
      </c>
      <c r="C44" s="24" t="s">
        <v>62</v>
      </c>
      <c r="D44" s="9" t="s">
        <v>9</v>
      </c>
      <c r="E44" s="9" t="s">
        <v>10</v>
      </c>
      <c r="F44" s="9" t="s">
        <v>11</v>
      </c>
      <c r="G44" s="9" t="s">
        <v>12</v>
      </c>
      <c r="H44" s="9" t="s">
        <v>13</v>
      </c>
      <c r="I44" s="9" t="s">
        <v>14</v>
      </c>
      <c r="J44" s="9" t="s">
        <v>15</v>
      </c>
      <c r="K44" s="10"/>
    </row>
    <row r="45" spans="1:11" s="1" customFormat="1">
      <c r="A45" s="11" t="s">
        <v>63</v>
      </c>
      <c r="B45" s="12" t="s">
        <v>21</v>
      </c>
      <c r="C45" s="13" t="s">
        <v>64</v>
      </c>
      <c r="D45" s="14" t="s">
        <v>20</v>
      </c>
      <c r="E45" s="14" t="s">
        <v>20</v>
      </c>
      <c r="F45" s="14" t="s">
        <v>20</v>
      </c>
      <c r="G45" s="14">
        <v>50000</v>
      </c>
      <c r="H45" s="14" t="s">
        <v>20</v>
      </c>
      <c r="I45" s="14" t="s">
        <v>20</v>
      </c>
      <c r="J45" s="14" t="s">
        <v>20</v>
      </c>
      <c r="K45" s="14">
        <f>D45+E45+F45+G45+H45+I45+J45</f>
        <v>50000</v>
      </c>
    </row>
    <row r="46" spans="1:11" s="1" customFormat="1">
      <c r="A46" s="15"/>
      <c r="B46" s="12" t="s">
        <v>23</v>
      </c>
      <c r="C46" s="13" t="s">
        <v>65</v>
      </c>
      <c r="D46" s="14" t="s">
        <v>20</v>
      </c>
      <c r="E46" s="14" t="s">
        <v>20</v>
      </c>
      <c r="F46" s="14" t="s">
        <v>20</v>
      </c>
      <c r="G46" s="14">
        <v>100000</v>
      </c>
      <c r="H46" s="14" t="s">
        <v>20</v>
      </c>
      <c r="I46" s="14" t="s">
        <v>20</v>
      </c>
      <c r="J46" s="14" t="s">
        <v>20</v>
      </c>
      <c r="K46" s="14">
        <f>D46+E46+F46+G46+H46+I46+J46</f>
        <v>100000</v>
      </c>
    </row>
    <row r="47" spans="1:11" s="1" customFormat="1" ht="27.6">
      <c r="A47" s="6" t="s">
        <v>63</v>
      </c>
      <c r="B47" s="16"/>
      <c r="C47" s="25" t="s">
        <v>66</v>
      </c>
      <c r="D47" s="17">
        <f>SUM(D45:D46)</f>
        <v>0</v>
      </c>
      <c r="E47" s="17">
        <f t="shared" ref="E47:J47" si="7">SUM(E45:E46)</f>
        <v>0</v>
      </c>
      <c r="F47" s="17">
        <f t="shared" si="7"/>
        <v>0</v>
      </c>
      <c r="G47" s="17">
        <f t="shared" si="7"/>
        <v>150000</v>
      </c>
      <c r="H47" s="17">
        <f t="shared" si="7"/>
        <v>0</v>
      </c>
      <c r="I47" s="17">
        <f t="shared" si="7"/>
        <v>0</v>
      </c>
      <c r="J47" s="17">
        <f t="shared" si="7"/>
        <v>0</v>
      </c>
      <c r="K47" s="17">
        <f>D47+E47+F47+G47+H47+I47+J47</f>
        <v>150000</v>
      </c>
    </row>
    <row r="48" spans="1:11" s="1" customFormat="1">
      <c r="C48" s="26"/>
    </row>
    <row r="49" spans="1:13" s="1" customFormat="1" ht="27.6">
      <c r="B49" s="8" t="s">
        <v>228</v>
      </c>
      <c r="C49" s="24" t="s">
        <v>229</v>
      </c>
      <c r="D49" s="9" t="s">
        <v>9</v>
      </c>
      <c r="E49" s="9" t="s">
        <v>10</v>
      </c>
      <c r="F49" s="9" t="s">
        <v>11</v>
      </c>
      <c r="G49" s="9" t="s">
        <v>12</v>
      </c>
      <c r="H49" s="9" t="s">
        <v>13</v>
      </c>
      <c r="I49" s="9" t="s">
        <v>14</v>
      </c>
      <c r="J49" s="9" t="s">
        <v>15</v>
      </c>
      <c r="K49" s="10"/>
    </row>
    <row r="50" spans="1:13" s="1" customFormat="1">
      <c r="B50" s="12" t="s">
        <v>21</v>
      </c>
      <c r="C50" s="13" t="s">
        <v>230</v>
      </c>
      <c r="D50" s="14" t="s">
        <v>20</v>
      </c>
      <c r="E50" s="14" t="s">
        <v>20</v>
      </c>
      <c r="F50" s="14" t="s">
        <v>20</v>
      </c>
      <c r="G50" s="14">
        <v>100000</v>
      </c>
      <c r="H50" s="14" t="s">
        <v>20</v>
      </c>
      <c r="I50" s="14" t="s">
        <v>20</v>
      </c>
      <c r="J50" s="14" t="s">
        <v>20</v>
      </c>
      <c r="K50" s="14">
        <f>D50+E50+F50+G50+H50+I50+J50</f>
        <v>100000</v>
      </c>
    </row>
    <row r="51" spans="1:13" s="1" customFormat="1" ht="27.6">
      <c r="B51" s="16"/>
      <c r="C51" s="25" t="s">
        <v>231</v>
      </c>
      <c r="D51" s="17">
        <f t="shared" ref="D51:J51" si="8">SUM(D49:D50)</f>
        <v>0</v>
      </c>
      <c r="E51" s="17">
        <f t="shared" si="8"/>
        <v>0</v>
      </c>
      <c r="F51" s="17">
        <f t="shared" si="8"/>
        <v>0</v>
      </c>
      <c r="G51" s="17">
        <f t="shared" si="8"/>
        <v>100000</v>
      </c>
      <c r="H51" s="17">
        <f t="shared" si="8"/>
        <v>0</v>
      </c>
      <c r="I51" s="17">
        <f t="shared" si="8"/>
        <v>0</v>
      </c>
      <c r="J51" s="17">
        <f t="shared" si="8"/>
        <v>0</v>
      </c>
      <c r="K51" s="17">
        <f>D51+E51+F51+G51+H51+I51+J51</f>
        <v>100000</v>
      </c>
    </row>
    <row r="52" spans="1:13" s="1" customFormat="1">
      <c r="C52" s="26"/>
    </row>
    <row r="53" spans="1:13" s="1" customFormat="1" ht="27.6">
      <c r="A53" s="4"/>
      <c r="B53" s="8" t="s">
        <v>67</v>
      </c>
      <c r="C53" s="24" t="s">
        <v>68</v>
      </c>
      <c r="D53" s="9" t="s">
        <v>9</v>
      </c>
      <c r="E53" s="9" t="s">
        <v>10</v>
      </c>
      <c r="F53" s="9" t="s">
        <v>11</v>
      </c>
      <c r="G53" s="9" t="s">
        <v>12</v>
      </c>
      <c r="H53" s="9" t="s">
        <v>13</v>
      </c>
      <c r="I53" s="9" t="s">
        <v>14</v>
      </c>
      <c r="J53" s="9" t="s">
        <v>15</v>
      </c>
      <c r="K53" s="10"/>
      <c r="M53" s="1" t="s">
        <v>94</v>
      </c>
    </row>
    <row r="54" spans="1:13" s="1" customFormat="1" ht="41.4">
      <c r="A54" s="11" t="s">
        <v>69</v>
      </c>
      <c r="B54" s="12" t="s">
        <v>21</v>
      </c>
      <c r="C54" s="13" t="s">
        <v>70</v>
      </c>
      <c r="D54" s="14" t="s">
        <v>20</v>
      </c>
      <c r="E54" s="14" t="s">
        <v>20</v>
      </c>
      <c r="F54" s="14" t="s">
        <v>20</v>
      </c>
      <c r="G54" s="14">
        <v>62000</v>
      </c>
      <c r="H54" s="14" t="s">
        <v>20</v>
      </c>
      <c r="I54" s="14" t="s">
        <v>20</v>
      </c>
      <c r="J54" s="14" t="s">
        <v>20</v>
      </c>
      <c r="K54" s="14">
        <f>D54+E54+F54+G54+H54+I54+J54</f>
        <v>62000</v>
      </c>
    </row>
    <row r="55" spans="1:13" s="1" customFormat="1" ht="27.6">
      <c r="A55" s="6" t="s">
        <v>69</v>
      </c>
      <c r="B55" s="16"/>
      <c r="C55" s="25" t="s">
        <v>71</v>
      </c>
      <c r="D55" s="17">
        <f>SUM(D54)</f>
        <v>0</v>
      </c>
      <c r="E55" s="17">
        <f t="shared" ref="E55:J55" si="9">SUM(E54)</f>
        <v>0</v>
      </c>
      <c r="F55" s="17">
        <f t="shared" si="9"/>
        <v>0</v>
      </c>
      <c r="G55" s="17">
        <f t="shared" si="9"/>
        <v>62000</v>
      </c>
      <c r="H55" s="17">
        <f t="shared" si="9"/>
        <v>0</v>
      </c>
      <c r="I55" s="17">
        <f t="shared" si="9"/>
        <v>0</v>
      </c>
      <c r="J55" s="17">
        <f t="shared" si="9"/>
        <v>0</v>
      </c>
      <c r="K55" s="17">
        <f>D55+E55+F55+G55+H55+I55+J55</f>
        <v>62000</v>
      </c>
    </row>
    <row r="56" spans="1:13" s="1" customFormat="1">
      <c r="C56" s="26"/>
    </row>
    <row r="57" spans="1:13" s="1" customFormat="1">
      <c r="A57" s="4"/>
      <c r="B57" s="5"/>
      <c r="C57" s="23"/>
      <c r="D57" s="6" t="s">
        <v>1</v>
      </c>
      <c r="E57" s="6" t="s">
        <v>2</v>
      </c>
      <c r="F57" s="6" t="s">
        <v>3</v>
      </c>
      <c r="G57" s="6" t="s">
        <v>4</v>
      </c>
      <c r="H57" s="6" t="s">
        <v>5</v>
      </c>
      <c r="I57" s="6" t="s">
        <v>6</v>
      </c>
      <c r="J57" s="6" t="s">
        <v>7</v>
      </c>
      <c r="K57" s="7"/>
    </row>
    <row r="58" spans="1:13" s="1" customFormat="1">
      <c r="A58" s="4"/>
      <c r="B58" s="8" t="s">
        <v>72</v>
      </c>
      <c r="C58" s="24" t="s">
        <v>73</v>
      </c>
      <c r="D58" s="9" t="s">
        <v>9</v>
      </c>
      <c r="E58" s="9" t="s">
        <v>10</v>
      </c>
      <c r="F58" s="9" t="s">
        <v>11</v>
      </c>
      <c r="G58" s="9" t="s">
        <v>12</v>
      </c>
      <c r="H58" s="9" t="s">
        <v>13</v>
      </c>
      <c r="I58" s="9" t="s">
        <v>14</v>
      </c>
      <c r="J58" s="9" t="s">
        <v>15</v>
      </c>
      <c r="K58" s="10"/>
    </row>
    <row r="59" spans="1:13" s="1" customFormat="1">
      <c r="A59" s="11" t="s">
        <v>74</v>
      </c>
      <c r="B59" s="12" t="s">
        <v>17</v>
      </c>
      <c r="C59" s="13" t="s">
        <v>75</v>
      </c>
      <c r="D59" s="14" t="s">
        <v>20</v>
      </c>
      <c r="E59" s="14" t="s">
        <v>20</v>
      </c>
      <c r="F59" s="14" t="s">
        <v>20</v>
      </c>
      <c r="G59" s="14" t="s">
        <v>20</v>
      </c>
      <c r="H59" s="14" t="s">
        <v>20</v>
      </c>
      <c r="I59" s="14" t="s">
        <v>20</v>
      </c>
      <c r="J59" s="14">
        <v>117910</v>
      </c>
      <c r="K59" s="14">
        <f>D59+E59+F59+G59+H59+I59+J59</f>
        <v>117910</v>
      </c>
    </row>
    <row r="60" spans="1:13" s="1" customFormat="1">
      <c r="A60" s="15"/>
      <c r="B60" s="12" t="s">
        <v>21</v>
      </c>
      <c r="C60" s="13" t="s">
        <v>76</v>
      </c>
      <c r="D60" s="14" t="s">
        <v>20</v>
      </c>
      <c r="E60" s="14" t="s">
        <v>20</v>
      </c>
      <c r="F60" s="14" t="s">
        <v>20</v>
      </c>
      <c r="G60" s="14" t="s">
        <v>20</v>
      </c>
      <c r="H60" s="14" t="s">
        <v>20</v>
      </c>
      <c r="I60" s="14" t="s">
        <v>20</v>
      </c>
      <c r="J60" s="14">
        <f>100000-100000</f>
        <v>0</v>
      </c>
      <c r="K60" s="14">
        <f>D60+E60+F60+G60+H60+I60+J60</f>
        <v>0</v>
      </c>
    </row>
    <row r="61" spans="1:13" s="1" customFormat="1">
      <c r="A61" s="15"/>
      <c r="B61" s="12" t="s">
        <v>23</v>
      </c>
      <c r="C61" s="13" t="s">
        <v>77</v>
      </c>
      <c r="D61" s="14" t="s">
        <v>20</v>
      </c>
      <c r="E61" s="14" t="s">
        <v>20</v>
      </c>
      <c r="F61" s="14" t="s">
        <v>20</v>
      </c>
      <c r="G61" s="14" t="s">
        <v>20</v>
      </c>
      <c r="H61" s="14" t="s">
        <v>20</v>
      </c>
      <c r="I61" s="14" t="s">
        <v>20</v>
      </c>
      <c r="J61" s="14">
        <f>100000-100000</f>
        <v>0</v>
      </c>
      <c r="K61" s="14">
        <f>D61+E61+F61+G61+H61+I61+J61</f>
        <v>0</v>
      </c>
    </row>
    <row r="62" spans="1:13" s="1" customFormat="1">
      <c r="A62" s="6" t="s">
        <v>74</v>
      </c>
      <c r="B62" s="16"/>
      <c r="C62" s="25" t="s">
        <v>78</v>
      </c>
      <c r="D62" s="17">
        <f>SUM(D59:D61)</f>
        <v>0</v>
      </c>
      <c r="E62" s="17">
        <f t="shared" ref="E62:J62" si="10">SUM(E59:E61)</f>
        <v>0</v>
      </c>
      <c r="F62" s="17">
        <f t="shared" si="10"/>
        <v>0</v>
      </c>
      <c r="G62" s="17">
        <f t="shared" si="10"/>
        <v>0</v>
      </c>
      <c r="H62" s="17">
        <f t="shared" si="10"/>
        <v>0</v>
      </c>
      <c r="I62" s="17">
        <f t="shared" si="10"/>
        <v>0</v>
      </c>
      <c r="J62" s="17">
        <f t="shared" si="10"/>
        <v>117910</v>
      </c>
      <c r="K62" s="17">
        <f>D62+E62+F62+G62+H62+I62+J62</f>
        <v>117910</v>
      </c>
    </row>
    <row r="63" spans="1:13" s="1" customFormat="1">
      <c r="C63" s="26"/>
    </row>
    <row r="64" spans="1:13" s="1" customFormat="1">
      <c r="A64" s="18"/>
      <c r="B64" s="19"/>
      <c r="C64" s="27"/>
      <c r="D64" s="20"/>
      <c r="E64" s="20"/>
      <c r="F64" s="20"/>
      <c r="G64" s="20"/>
      <c r="H64" s="20"/>
      <c r="I64" s="20"/>
      <c r="J64" s="20"/>
      <c r="K64" s="20"/>
    </row>
    <row r="65" spans="1:12" s="1" customFormat="1">
      <c r="A65" s="18"/>
      <c r="B65" s="250" t="s">
        <v>79</v>
      </c>
      <c r="C65" s="250"/>
      <c r="D65" s="21">
        <f>D62+D55+D47+D41+D36+D31+D25+D20+D14+D51</f>
        <v>254630</v>
      </c>
      <c r="E65" s="21">
        <f t="shared" ref="E65:K65" si="11">E62+E55+E47+E41+E36+E31+E25+E20+E14+E51</f>
        <v>1173781.05</v>
      </c>
      <c r="F65" s="21">
        <f t="shared" si="11"/>
        <v>12424066.870000001</v>
      </c>
      <c r="G65" s="21">
        <f t="shared" si="11"/>
        <v>8466750</v>
      </c>
      <c r="H65" s="21">
        <f t="shared" si="11"/>
        <v>500</v>
      </c>
      <c r="I65" s="21">
        <f t="shared" si="11"/>
        <v>141176.07</v>
      </c>
      <c r="J65" s="21">
        <f t="shared" si="11"/>
        <v>192870.01</v>
      </c>
      <c r="K65" s="21">
        <f t="shared" si="11"/>
        <v>22653774.000000004</v>
      </c>
    </row>
    <row r="67" spans="1:12">
      <c r="D67" s="29"/>
      <c r="E67" s="29"/>
      <c r="F67" s="29"/>
      <c r="G67" s="29"/>
      <c r="H67" s="29"/>
      <c r="I67" s="29"/>
      <c r="J67" s="29"/>
      <c r="K67" s="29"/>
    </row>
    <row r="69" spans="1:12">
      <c r="D69" s="29"/>
      <c r="E69" s="29"/>
      <c r="F69" s="29"/>
      <c r="G69" s="29"/>
      <c r="H69" s="29"/>
      <c r="I69" s="29"/>
      <c r="J69" s="29"/>
      <c r="K69" s="29"/>
      <c r="L69" s="29"/>
    </row>
    <row r="70" spans="1:12">
      <c r="D70" s="29"/>
    </row>
    <row r="71" spans="1:12">
      <c r="D71" s="29"/>
      <c r="E71" s="29"/>
      <c r="F71" s="29"/>
      <c r="G71" s="29"/>
      <c r="H71" s="29"/>
      <c r="I71" s="29"/>
      <c r="J71" s="29"/>
      <c r="K71" s="29"/>
    </row>
  </sheetData>
  <mergeCells count="3">
    <mergeCell ref="B2:C3"/>
    <mergeCell ref="B65:C65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B1:L26"/>
  <sheetViews>
    <sheetView zoomScale="80" zoomScaleNormal="80" workbookViewId="0">
      <selection activeCell="F20" sqref="F20"/>
    </sheetView>
  </sheetViews>
  <sheetFormatPr defaultColWidth="9.109375" defaultRowHeight="13.2"/>
  <cols>
    <col min="1" max="1" width="5.6640625" style="37" customWidth="1"/>
    <col min="2" max="2" width="6.109375" style="37" customWidth="1"/>
    <col min="3" max="3" width="67.44140625" style="61" customWidth="1"/>
    <col min="4" max="4" width="26.88671875" style="37" customWidth="1"/>
    <col min="5" max="5" width="19.109375" style="37" customWidth="1"/>
    <col min="6" max="6" width="16.44140625" style="37" customWidth="1"/>
    <col min="7" max="7" width="22.6640625" style="37" customWidth="1"/>
    <col min="8" max="8" width="14.6640625" style="37" customWidth="1"/>
    <col min="9" max="9" width="15.44140625" style="37" customWidth="1"/>
    <col min="10" max="10" width="16.5546875" style="37" customWidth="1"/>
    <col min="11" max="11" width="16.109375" style="37" customWidth="1"/>
    <col min="12" max="12" width="17.6640625" style="37" customWidth="1"/>
    <col min="13" max="16384" width="9.109375" style="37"/>
  </cols>
  <sheetData>
    <row r="1" spans="2:12" s="31" customFormat="1" ht="65.25" customHeight="1">
      <c r="B1" s="258" t="s">
        <v>83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2:12" s="31" customFormat="1" ht="5.25" customHeight="1">
      <c r="C2" s="55"/>
    </row>
    <row r="3" spans="2:12" s="38" customFormat="1" ht="75" customHeight="1">
      <c r="B3" s="252" t="s">
        <v>0</v>
      </c>
      <c r="C3" s="253"/>
      <c r="D3" s="39" t="s">
        <v>85</v>
      </c>
      <c r="E3" s="39" t="s">
        <v>86</v>
      </c>
      <c r="F3" s="39" t="s">
        <v>87</v>
      </c>
      <c r="G3" s="39" t="s">
        <v>88</v>
      </c>
      <c r="H3" s="39" t="s">
        <v>232</v>
      </c>
      <c r="I3" s="39" t="s">
        <v>241</v>
      </c>
      <c r="J3" s="39" t="s">
        <v>242</v>
      </c>
      <c r="K3" s="39" t="s">
        <v>243</v>
      </c>
      <c r="L3" s="39" t="s">
        <v>244</v>
      </c>
    </row>
    <row r="4" spans="2:12" s="38" customFormat="1" ht="36.75" customHeight="1">
      <c r="B4" s="254"/>
      <c r="C4" s="255"/>
      <c r="D4" s="40" t="s">
        <v>89</v>
      </c>
      <c r="E4" s="40" t="s">
        <v>90</v>
      </c>
      <c r="F4" s="40" t="s">
        <v>91</v>
      </c>
      <c r="G4" s="40" t="s">
        <v>84</v>
      </c>
      <c r="H4" s="40" t="s">
        <v>233</v>
      </c>
      <c r="I4" s="40" t="s">
        <v>235</v>
      </c>
      <c r="J4" s="40" t="s">
        <v>236</v>
      </c>
      <c r="K4" s="40" t="s">
        <v>237</v>
      </c>
      <c r="L4" s="40" t="s">
        <v>238</v>
      </c>
    </row>
    <row r="5" spans="2:12" s="38" customFormat="1" ht="13.8">
      <c r="B5" s="41"/>
      <c r="C5" s="57"/>
      <c r="D5" s="42" t="s">
        <v>84</v>
      </c>
      <c r="E5" s="43"/>
      <c r="F5" s="43"/>
      <c r="G5" s="44"/>
      <c r="H5" s="44"/>
      <c r="I5" s="44"/>
      <c r="J5" s="44"/>
      <c r="K5" s="44"/>
      <c r="L5" s="44"/>
    </row>
    <row r="6" spans="2:12" s="38" customFormat="1" ht="13.8">
      <c r="B6" s="45" t="s">
        <v>17</v>
      </c>
      <c r="C6" s="58" t="s">
        <v>18</v>
      </c>
      <c r="D6" s="46" t="s">
        <v>89</v>
      </c>
      <c r="E6" s="46" t="s">
        <v>90</v>
      </c>
      <c r="F6" s="46" t="s">
        <v>91</v>
      </c>
      <c r="G6" s="47"/>
      <c r="H6" s="47"/>
      <c r="I6" s="47"/>
      <c r="J6" s="47"/>
      <c r="K6" s="47"/>
      <c r="L6" s="47"/>
    </row>
    <row r="7" spans="2:12" s="38" customFormat="1" ht="13.8">
      <c r="B7" s="48" t="s">
        <v>23</v>
      </c>
      <c r="C7" s="49" t="s">
        <v>24</v>
      </c>
      <c r="D7" s="50">
        <f>37300+4000+22691.22</f>
        <v>63991.22</v>
      </c>
      <c r="E7" s="50" t="s">
        <v>20</v>
      </c>
      <c r="F7" s="50" t="s">
        <v>20</v>
      </c>
      <c r="G7" s="51">
        <f>D7+E7+F7</f>
        <v>63991.22</v>
      </c>
      <c r="H7" s="51">
        <v>50000</v>
      </c>
      <c r="I7" s="51">
        <v>0</v>
      </c>
      <c r="J7" s="51">
        <v>0</v>
      </c>
      <c r="K7" s="51">
        <v>0</v>
      </c>
      <c r="L7" s="51">
        <f t="shared" ref="L7:L12" si="0">K7+J7+I7+H7</f>
        <v>50000</v>
      </c>
    </row>
    <row r="8" spans="2:12" s="38" customFormat="1" ht="13.8">
      <c r="B8" s="48" t="s">
        <v>25</v>
      </c>
      <c r="C8" s="49" t="s">
        <v>26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1">
        <f t="shared" si="0"/>
        <v>0</v>
      </c>
    </row>
    <row r="9" spans="2:12" s="38" customFormat="1" ht="13.8">
      <c r="B9" s="48" t="s">
        <v>27</v>
      </c>
      <c r="C9" s="49" t="s">
        <v>28</v>
      </c>
      <c r="D9" s="50">
        <f>337400+30535.68-5000-183000</f>
        <v>179935.68</v>
      </c>
      <c r="E9" s="50" t="s">
        <v>20</v>
      </c>
      <c r="F9" s="50">
        <v>183000</v>
      </c>
      <c r="G9" s="51">
        <f>D9+E9+F9</f>
        <v>362935.68</v>
      </c>
      <c r="H9" s="51">
        <v>0</v>
      </c>
      <c r="I9" s="51">
        <v>0</v>
      </c>
      <c r="J9" s="51">
        <v>0</v>
      </c>
      <c r="K9" s="51">
        <v>0</v>
      </c>
      <c r="L9" s="51">
        <f t="shared" si="0"/>
        <v>0</v>
      </c>
    </row>
    <row r="10" spans="2:12" s="38" customFormat="1" ht="13.8">
      <c r="B10" s="48" t="s">
        <v>29</v>
      </c>
      <c r="C10" s="49" t="s">
        <v>30</v>
      </c>
      <c r="D10" s="50">
        <f>317556+10389.06+2464.4+20000+175852.33</f>
        <v>526261.79</v>
      </c>
      <c r="E10" s="50" t="s">
        <v>20</v>
      </c>
      <c r="F10" s="50" t="s">
        <v>20</v>
      </c>
      <c r="G10" s="51">
        <f>D10+E10+F10</f>
        <v>526261.79</v>
      </c>
      <c r="H10" s="51">
        <v>0</v>
      </c>
      <c r="I10" s="51">
        <v>0</v>
      </c>
      <c r="J10" s="51">
        <v>0</v>
      </c>
      <c r="K10" s="51">
        <v>0</v>
      </c>
      <c r="L10" s="51">
        <f t="shared" si="0"/>
        <v>0</v>
      </c>
    </row>
    <row r="11" spans="2:12" s="38" customFormat="1" ht="13.8">
      <c r="B11" s="48" t="s">
        <v>33</v>
      </c>
      <c r="C11" s="49" t="s">
        <v>34</v>
      </c>
      <c r="D11" s="50">
        <f>5000+17235</f>
        <v>22235</v>
      </c>
      <c r="E11" s="50" t="s">
        <v>20</v>
      </c>
      <c r="F11" s="50" t="s">
        <v>20</v>
      </c>
      <c r="G11" s="51">
        <f>D11+E11+F11</f>
        <v>22235</v>
      </c>
      <c r="H11" s="51">
        <v>0</v>
      </c>
      <c r="I11" s="51">
        <v>0</v>
      </c>
      <c r="J11" s="51">
        <v>0</v>
      </c>
      <c r="K11" s="51">
        <v>0</v>
      </c>
      <c r="L11" s="51">
        <f t="shared" si="0"/>
        <v>0</v>
      </c>
    </row>
    <row r="12" spans="2:12" s="38" customFormat="1" ht="13.8">
      <c r="B12" s="52"/>
      <c r="C12" s="59" t="s">
        <v>35</v>
      </c>
      <c r="D12" s="53">
        <f t="shared" ref="D12:K12" si="1">SUM(D7:D11)</f>
        <v>792423.69000000006</v>
      </c>
      <c r="E12" s="53">
        <f t="shared" si="1"/>
        <v>0</v>
      </c>
      <c r="F12" s="53">
        <f t="shared" si="1"/>
        <v>183000</v>
      </c>
      <c r="G12" s="53">
        <f t="shared" si="1"/>
        <v>975423.69000000006</v>
      </c>
      <c r="H12" s="53">
        <f t="shared" si="1"/>
        <v>50000</v>
      </c>
      <c r="I12" s="53">
        <f t="shared" si="1"/>
        <v>0</v>
      </c>
      <c r="J12" s="53">
        <f t="shared" si="1"/>
        <v>0</v>
      </c>
      <c r="K12" s="53">
        <f t="shared" si="1"/>
        <v>0</v>
      </c>
      <c r="L12" s="53">
        <f t="shared" si="0"/>
        <v>50000</v>
      </c>
    </row>
    <row r="13" spans="2:12" s="38" customFormat="1" ht="13.8">
      <c r="C13" s="60"/>
    </row>
    <row r="14" spans="2:12" s="38" customFormat="1" ht="27.6">
      <c r="B14" s="45" t="s">
        <v>25</v>
      </c>
      <c r="C14" s="58" t="s">
        <v>36</v>
      </c>
      <c r="D14" s="46" t="s">
        <v>89</v>
      </c>
      <c r="E14" s="46" t="s">
        <v>90</v>
      </c>
      <c r="F14" s="46" t="s">
        <v>91</v>
      </c>
      <c r="G14" s="47"/>
      <c r="H14" s="47"/>
      <c r="I14" s="47"/>
      <c r="J14" s="47"/>
      <c r="K14" s="47"/>
      <c r="L14" s="47"/>
    </row>
    <row r="15" spans="2:12" s="38" customFormat="1" ht="13.8">
      <c r="B15" s="48" t="s">
        <v>17</v>
      </c>
      <c r="C15" s="49" t="s">
        <v>38</v>
      </c>
      <c r="D15" s="50">
        <v>10000</v>
      </c>
      <c r="E15" s="50">
        <f>90000-45000</f>
        <v>45000</v>
      </c>
      <c r="F15" s="50" t="s">
        <v>20</v>
      </c>
      <c r="G15" s="51">
        <f>D15+E15+F15</f>
        <v>55000</v>
      </c>
      <c r="H15" s="51">
        <v>0</v>
      </c>
      <c r="I15" s="51">
        <v>0</v>
      </c>
      <c r="J15" s="51">
        <v>0</v>
      </c>
      <c r="K15" s="51">
        <v>0</v>
      </c>
      <c r="L15" s="51">
        <f>K15+J15+I15+H15</f>
        <v>0</v>
      </c>
    </row>
    <row r="16" spans="2:12" s="38" customFormat="1" ht="13.8">
      <c r="B16" s="48" t="s">
        <v>21</v>
      </c>
      <c r="C16" s="49" t="s">
        <v>39</v>
      </c>
      <c r="D16" s="50">
        <v>39500</v>
      </c>
      <c r="E16" s="50" t="s">
        <v>20</v>
      </c>
      <c r="F16" s="50" t="s">
        <v>20</v>
      </c>
      <c r="G16" s="51">
        <f>D16+E16+F16</f>
        <v>39500</v>
      </c>
      <c r="H16" s="51">
        <v>0</v>
      </c>
      <c r="I16" s="51">
        <v>0</v>
      </c>
      <c r="J16" s="51">
        <v>0</v>
      </c>
      <c r="K16" s="51">
        <v>0</v>
      </c>
      <c r="L16" s="51">
        <f>K16+J16+I16+H16</f>
        <v>0</v>
      </c>
    </row>
    <row r="17" spans="2:12" s="38" customFormat="1" ht="27.6">
      <c r="B17" s="52"/>
      <c r="C17" s="59" t="s">
        <v>40</v>
      </c>
      <c r="D17" s="53">
        <f t="shared" ref="D17:K17" si="2">SUM(D15:D16)</f>
        <v>49500</v>
      </c>
      <c r="E17" s="53">
        <f t="shared" si="2"/>
        <v>45000</v>
      </c>
      <c r="F17" s="53">
        <f t="shared" si="2"/>
        <v>0</v>
      </c>
      <c r="G17" s="53">
        <f t="shared" si="2"/>
        <v>94500</v>
      </c>
      <c r="H17" s="53">
        <f t="shared" si="2"/>
        <v>0</v>
      </c>
      <c r="I17" s="53">
        <f t="shared" si="2"/>
        <v>0</v>
      </c>
      <c r="J17" s="53">
        <f t="shared" si="2"/>
        <v>0</v>
      </c>
      <c r="K17" s="53">
        <f t="shared" si="2"/>
        <v>0</v>
      </c>
      <c r="L17" s="53">
        <f>K17+J17+I17+H17</f>
        <v>0</v>
      </c>
    </row>
    <row r="18" spans="2:12" s="38" customFormat="1" ht="13.8">
      <c r="C18" s="60"/>
    </row>
    <row r="19" spans="2:12" s="38" customFormat="1" ht="13.8">
      <c r="B19" s="45" t="s">
        <v>72</v>
      </c>
      <c r="C19" s="58" t="s">
        <v>73</v>
      </c>
      <c r="D19" s="46" t="s">
        <v>89</v>
      </c>
      <c r="E19" s="46" t="s">
        <v>90</v>
      </c>
      <c r="F19" s="46" t="s">
        <v>91</v>
      </c>
      <c r="G19" s="47"/>
      <c r="H19" s="47"/>
      <c r="I19" s="47"/>
      <c r="J19" s="47"/>
      <c r="K19" s="47"/>
      <c r="L19" s="47"/>
    </row>
    <row r="20" spans="2:12" s="38" customFormat="1" ht="13.8">
      <c r="B20" s="48" t="s">
        <v>23</v>
      </c>
      <c r="C20" s="49" t="s">
        <v>77</v>
      </c>
      <c r="D20" s="50" t="s">
        <v>20</v>
      </c>
      <c r="E20" s="50" t="s">
        <v>20</v>
      </c>
      <c r="F20" s="50">
        <f>52500-24000+50000-50000</f>
        <v>28500</v>
      </c>
      <c r="G20" s="51">
        <f>D20+E20+F20</f>
        <v>28500</v>
      </c>
      <c r="H20" s="51">
        <v>0</v>
      </c>
      <c r="I20" s="51">
        <v>0</v>
      </c>
      <c r="J20" s="51">
        <v>0</v>
      </c>
      <c r="K20" s="51">
        <v>0</v>
      </c>
      <c r="L20" s="51">
        <f>K20+J20+I20+H20</f>
        <v>0</v>
      </c>
    </row>
    <row r="21" spans="2:12" s="38" customFormat="1" ht="13.8">
      <c r="B21" s="52"/>
      <c r="C21" s="59" t="s">
        <v>78</v>
      </c>
      <c r="D21" s="53">
        <f t="shared" ref="D21:K21" si="3">SUM(D20)</f>
        <v>0</v>
      </c>
      <c r="E21" s="53">
        <f t="shared" si="3"/>
        <v>0</v>
      </c>
      <c r="F21" s="53">
        <f t="shared" si="3"/>
        <v>28500</v>
      </c>
      <c r="G21" s="53">
        <f t="shared" si="3"/>
        <v>28500</v>
      </c>
      <c r="H21" s="53">
        <f t="shared" si="3"/>
        <v>0</v>
      </c>
      <c r="I21" s="53">
        <f t="shared" si="3"/>
        <v>0</v>
      </c>
      <c r="J21" s="53">
        <f t="shared" si="3"/>
        <v>0</v>
      </c>
      <c r="K21" s="53">
        <f t="shared" si="3"/>
        <v>0</v>
      </c>
      <c r="L21" s="53">
        <f>K21+J21+I21+H21</f>
        <v>0</v>
      </c>
    </row>
    <row r="22" spans="2:12" s="38" customFormat="1" ht="13.8">
      <c r="C22" s="60"/>
    </row>
    <row r="23" spans="2:12" s="38" customFormat="1" ht="13.8">
      <c r="B23" s="256" t="s">
        <v>79</v>
      </c>
      <c r="C23" s="257"/>
      <c r="D23" s="54">
        <f t="shared" ref="D23:L23" si="4">D21+D17+D12</f>
        <v>841923.69000000006</v>
      </c>
      <c r="E23" s="54">
        <f t="shared" si="4"/>
        <v>45000</v>
      </c>
      <c r="F23" s="54">
        <f t="shared" si="4"/>
        <v>211500</v>
      </c>
      <c r="G23" s="54">
        <f t="shared" si="4"/>
        <v>1098423.69</v>
      </c>
      <c r="H23" s="54">
        <f t="shared" si="4"/>
        <v>50000</v>
      </c>
      <c r="I23" s="54">
        <f t="shared" si="4"/>
        <v>0</v>
      </c>
      <c r="J23" s="54">
        <f t="shared" si="4"/>
        <v>0</v>
      </c>
      <c r="K23" s="54">
        <f t="shared" si="4"/>
        <v>0</v>
      </c>
      <c r="L23" s="54">
        <f t="shared" si="4"/>
        <v>50000</v>
      </c>
    </row>
    <row r="25" spans="2:12">
      <c r="D25" s="61"/>
      <c r="E25" s="61"/>
      <c r="F25" s="61"/>
      <c r="G25" s="61"/>
      <c r="H25" s="61"/>
    </row>
    <row r="26" spans="2:12">
      <c r="D26" s="61"/>
      <c r="E26" s="61"/>
      <c r="F26" s="61"/>
      <c r="G26" s="61"/>
      <c r="H26" s="61"/>
    </row>
  </sheetData>
  <mergeCells count="3">
    <mergeCell ref="B3:C4"/>
    <mergeCell ref="B23:C23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23"/>
  <sheetViews>
    <sheetView zoomScaleNormal="100" zoomScaleSheetLayoutView="70" workbookViewId="0">
      <selection activeCell="I32" sqref="I32"/>
    </sheetView>
  </sheetViews>
  <sheetFormatPr defaultColWidth="9.109375" defaultRowHeight="13.2"/>
  <cols>
    <col min="1" max="1" width="6" style="37" customWidth="1"/>
    <col min="2" max="2" width="3.5546875" style="37" customWidth="1"/>
    <col min="3" max="3" width="52.33203125" style="61" customWidth="1"/>
    <col min="4" max="4" width="21.5546875" style="37" customWidth="1"/>
    <col min="5" max="5" width="16.5546875" style="37" customWidth="1"/>
    <col min="6" max="6" width="17.5546875" style="37" customWidth="1"/>
    <col min="7" max="7" width="16.33203125" style="37" customWidth="1"/>
    <col min="8" max="8" width="3.5546875" style="37" customWidth="1"/>
    <col min="9" max="9" width="69.5546875" style="37" customWidth="1"/>
    <col min="10" max="16384" width="9.109375" style="37"/>
  </cols>
  <sheetData>
    <row r="1" spans="1:9" s="31" customFormat="1" ht="57.75" customHeight="1">
      <c r="A1" s="258" t="s">
        <v>92</v>
      </c>
      <c r="B1" s="258"/>
      <c r="C1" s="258"/>
      <c r="D1" s="258"/>
      <c r="E1" s="258"/>
      <c r="F1" s="258"/>
      <c r="G1" s="258"/>
      <c r="H1" s="30"/>
      <c r="I1" s="30"/>
    </row>
    <row r="2" spans="1:9" s="31" customFormat="1" ht="18" customHeight="1">
      <c r="A2" s="32"/>
      <c r="B2" s="33"/>
      <c r="C2" s="56"/>
      <c r="D2" s="34" t="s">
        <v>84</v>
      </c>
      <c r="E2" s="35"/>
      <c r="F2" s="35"/>
      <c r="G2" s="36" t="s">
        <v>84</v>
      </c>
      <c r="H2" s="32"/>
    </row>
    <row r="3" spans="1:9" s="62" customFormat="1" ht="39.6">
      <c r="B3" s="259" t="s">
        <v>0</v>
      </c>
      <c r="C3" s="260"/>
      <c r="D3" s="63" t="s">
        <v>85</v>
      </c>
      <c r="E3" s="63" t="s">
        <v>86</v>
      </c>
      <c r="F3" s="63" t="s">
        <v>87</v>
      </c>
      <c r="G3" s="63" t="s">
        <v>88</v>
      </c>
    </row>
    <row r="4" spans="1:9" s="62" customFormat="1">
      <c r="B4" s="261"/>
      <c r="C4" s="262"/>
      <c r="D4" s="64" t="s">
        <v>89</v>
      </c>
      <c r="E4" s="64" t="s">
        <v>90</v>
      </c>
      <c r="F4" s="64" t="s">
        <v>91</v>
      </c>
      <c r="G4" s="64" t="s">
        <v>84</v>
      </c>
    </row>
    <row r="5" spans="1:9" s="62" customFormat="1">
      <c r="A5" s="65"/>
      <c r="B5" s="66"/>
      <c r="C5" s="83"/>
      <c r="D5" s="67" t="s">
        <v>84</v>
      </c>
      <c r="E5" s="68"/>
      <c r="F5" s="68"/>
      <c r="G5" s="69"/>
    </row>
    <row r="6" spans="1:9" s="62" customFormat="1">
      <c r="A6" s="65"/>
      <c r="B6" s="70" t="s">
        <v>17</v>
      </c>
      <c r="C6" s="84" t="s">
        <v>18</v>
      </c>
      <c r="D6" s="71" t="s">
        <v>89</v>
      </c>
      <c r="E6" s="71" t="s">
        <v>90</v>
      </c>
      <c r="F6" s="71" t="s">
        <v>91</v>
      </c>
      <c r="G6" s="72"/>
    </row>
    <row r="7" spans="1:9" s="62" customFormat="1" ht="26.4">
      <c r="A7" s="73" t="s">
        <v>16</v>
      </c>
      <c r="B7" s="74" t="s">
        <v>23</v>
      </c>
      <c r="C7" s="75" t="s">
        <v>24</v>
      </c>
      <c r="D7" s="76">
        <v>11500</v>
      </c>
      <c r="E7" s="76" t="s">
        <v>20</v>
      </c>
      <c r="F7" s="76" t="s">
        <v>20</v>
      </c>
      <c r="G7" s="77">
        <f>D7+E7+F7</f>
        <v>11500</v>
      </c>
    </row>
    <row r="8" spans="1:9" s="62" customFormat="1">
      <c r="A8" s="73"/>
      <c r="B8" s="74" t="s">
        <v>25</v>
      </c>
      <c r="C8" s="75" t="s">
        <v>26</v>
      </c>
      <c r="D8" s="76">
        <v>0</v>
      </c>
      <c r="E8" s="76">
        <v>0</v>
      </c>
      <c r="F8" s="76">
        <v>0</v>
      </c>
      <c r="G8" s="77">
        <v>0</v>
      </c>
    </row>
    <row r="9" spans="1:9" s="62" customFormat="1">
      <c r="A9" s="78"/>
      <c r="B9" s="74" t="s">
        <v>27</v>
      </c>
      <c r="C9" s="75" t="s">
        <v>28</v>
      </c>
      <c r="D9" s="76">
        <f>236000+183000</f>
        <v>419000</v>
      </c>
      <c r="E9" s="76" t="s">
        <v>20</v>
      </c>
      <c r="F9" s="76">
        <v>0</v>
      </c>
      <c r="G9" s="77">
        <f>D9+E9+F9</f>
        <v>419000</v>
      </c>
    </row>
    <row r="10" spans="1:9" s="62" customFormat="1">
      <c r="A10" s="78"/>
      <c r="B10" s="74" t="s">
        <v>29</v>
      </c>
      <c r="C10" s="75" t="s">
        <v>30</v>
      </c>
      <c r="D10" s="76">
        <v>205656</v>
      </c>
      <c r="E10" s="76" t="s">
        <v>20</v>
      </c>
      <c r="F10" s="76" t="s">
        <v>20</v>
      </c>
      <c r="G10" s="77">
        <f>D10+E10+F10</f>
        <v>205656</v>
      </c>
    </row>
    <row r="11" spans="1:9" s="62" customFormat="1">
      <c r="A11" s="78"/>
      <c r="B11" s="74" t="s">
        <v>33</v>
      </c>
      <c r="C11" s="75" t="s">
        <v>34</v>
      </c>
      <c r="D11" s="76">
        <v>4000</v>
      </c>
      <c r="E11" s="76" t="s">
        <v>20</v>
      </c>
      <c r="F11" s="76" t="s">
        <v>20</v>
      </c>
      <c r="G11" s="77">
        <f>D11+E11+F11</f>
        <v>4000</v>
      </c>
    </row>
    <row r="12" spans="1:9" s="62" customFormat="1" ht="26.4">
      <c r="A12" s="67" t="s">
        <v>16</v>
      </c>
      <c r="B12" s="79"/>
      <c r="C12" s="85" t="s">
        <v>35</v>
      </c>
      <c r="D12" s="80">
        <f>SUM(D7:D11)</f>
        <v>640156</v>
      </c>
      <c r="E12" s="80">
        <f>SUM(E7:E11)</f>
        <v>0</v>
      </c>
      <c r="F12" s="80">
        <f>SUM(F7:F11)</f>
        <v>0</v>
      </c>
      <c r="G12" s="80">
        <f>SUM(G7:G11)</f>
        <v>640156</v>
      </c>
    </row>
    <row r="13" spans="1:9" s="62" customFormat="1">
      <c r="C13" s="86"/>
    </row>
    <row r="14" spans="1:9" s="62" customFormat="1" ht="26.4">
      <c r="A14" s="65"/>
      <c r="B14" s="70" t="s">
        <v>25</v>
      </c>
      <c r="C14" s="84" t="s">
        <v>36</v>
      </c>
      <c r="D14" s="71" t="s">
        <v>89</v>
      </c>
      <c r="E14" s="71" t="s">
        <v>90</v>
      </c>
      <c r="F14" s="71" t="s">
        <v>91</v>
      </c>
      <c r="G14" s="72"/>
    </row>
    <row r="15" spans="1:9" s="62" customFormat="1">
      <c r="A15" s="73" t="s">
        <v>37</v>
      </c>
      <c r="B15" s="74" t="s">
        <v>17</v>
      </c>
      <c r="C15" s="75" t="s">
        <v>38</v>
      </c>
      <c r="D15" s="76">
        <v>10000</v>
      </c>
      <c r="E15" s="76">
        <v>90000</v>
      </c>
      <c r="F15" s="76" t="s">
        <v>20</v>
      </c>
      <c r="G15" s="77">
        <f>D15+E15+F15</f>
        <v>100000</v>
      </c>
    </row>
    <row r="16" spans="1:9" s="62" customFormat="1">
      <c r="A16" s="78"/>
      <c r="B16" s="74" t="s">
        <v>21</v>
      </c>
      <c r="C16" s="75" t="s">
        <v>39</v>
      </c>
      <c r="D16" s="76">
        <v>4500</v>
      </c>
      <c r="E16" s="76" t="s">
        <v>20</v>
      </c>
      <c r="F16" s="76" t="s">
        <v>20</v>
      </c>
      <c r="G16" s="77">
        <f>D16+E16+F16</f>
        <v>4500</v>
      </c>
    </row>
    <row r="17" spans="1:9" s="62" customFormat="1" ht="26.4">
      <c r="A17" s="67" t="s">
        <v>37</v>
      </c>
      <c r="B17" s="79"/>
      <c r="C17" s="85" t="s">
        <v>40</v>
      </c>
      <c r="D17" s="80">
        <f>SUM(D15:D16)</f>
        <v>14500</v>
      </c>
      <c r="E17" s="80">
        <v>90000</v>
      </c>
      <c r="F17" s="80" t="s">
        <v>20</v>
      </c>
      <c r="G17" s="80">
        <f>SUM(G13:G16)</f>
        <v>104500</v>
      </c>
      <c r="I17" s="62" t="s">
        <v>94</v>
      </c>
    </row>
    <row r="18" spans="1:9" s="62" customFormat="1">
      <c r="C18" s="86"/>
    </row>
    <row r="19" spans="1:9" s="62" customFormat="1">
      <c r="A19" s="65"/>
      <c r="B19" s="70" t="s">
        <v>72</v>
      </c>
      <c r="C19" s="84" t="s">
        <v>73</v>
      </c>
      <c r="D19" s="71" t="s">
        <v>89</v>
      </c>
      <c r="E19" s="71" t="s">
        <v>90</v>
      </c>
      <c r="F19" s="71" t="s">
        <v>91</v>
      </c>
      <c r="G19" s="72"/>
    </row>
    <row r="20" spans="1:9" s="62" customFormat="1">
      <c r="A20" s="73" t="s">
        <v>74</v>
      </c>
      <c r="B20" s="74" t="s">
        <v>23</v>
      </c>
      <c r="C20" s="75" t="s">
        <v>77</v>
      </c>
      <c r="D20" s="76" t="s">
        <v>20</v>
      </c>
      <c r="E20" s="76" t="s">
        <v>20</v>
      </c>
      <c r="F20" s="76">
        <f>52500-4500</f>
        <v>48000</v>
      </c>
      <c r="G20" s="77">
        <f>D20+E20+F20</f>
        <v>48000</v>
      </c>
    </row>
    <row r="21" spans="1:9" s="62" customFormat="1">
      <c r="A21" s="67" t="s">
        <v>74</v>
      </c>
      <c r="B21" s="79"/>
      <c r="C21" s="85" t="s">
        <v>78</v>
      </c>
      <c r="D21" s="81">
        <f>SUM(D20)</f>
        <v>0</v>
      </c>
      <c r="E21" s="81">
        <f>SUM(E20)</f>
        <v>0</v>
      </c>
      <c r="F21" s="81">
        <f>SUM(F20)</f>
        <v>48000</v>
      </c>
      <c r="G21" s="81">
        <f>SUM(G20)</f>
        <v>48000</v>
      </c>
    </row>
    <row r="22" spans="1:9" s="62" customFormat="1">
      <c r="C22" s="86"/>
    </row>
    <row r="23" spans="1:9" s="62" customFormat="1">
      <c r="A23" s="69"/>
      <c r="B23" s="263" t="s">
        <v>79</v>
      </c>
      <c r="C23" s="264"/>
      <c r="D23" s="82">
        <f>D21+D17+D12</f>
        <v>654656</v>
      </c>
      <c r="E23" s="82">
        <f>E21+E17+E12</f>
        <v>90000</v>
      </c>
      <c r="F23" s="82">
        <f>F21+F17+F12</f>
        <v>48000</v>
      </c>
      <c r="G23" s="82">
        <f>G21+G17+G12</f>
        <v>792656</v>
      </c>
    </row>
  </sheetData>
  <mergeCells count="3">
    <mergeCell ref="A1:G1"/>
    <mergeCell ref="B3:C4"/>
    <mergeCell ref="B23:C23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23"/>
  <sheetViews>
    <sheetView topLeftCell="A2" zoomScale="90" zoomScaleNormal="90" workbookViewId="0">
      <selection activeCell="D13" sqref="D13"/>
    </sheetView>
  </sheetViews>
  <sheetFormatPr defaultColWidth="9.109375" defaultRowHeight="13.2"/>
  <cols>
    <col min="1" max="1" width="6" style="37" customWidth="1"/>
    <col min="2" max="2" width="3.5546875" style="37" customWidth="1"/>
    <col min="3" max="3" width="52.33203125" style="61" customWidth="1"/>
    <col min="4" max="4" width="21.5546875" style="37" customWidth="1"/>
    <col min="5" max="5" width="16.5546875" style="37" customWidth="1"/>
    <col min="6" max="6" width="17.5546875" style="37" customWidth="1"/>
    <col min="7" max="7" width="16.33203125" style="37" customWidth="1"/>
    <col min="8" max="8" width="3.5546875" style="37" customWidth="1"/>
    <col min="9" max="9" width="69.5546875" style="37" customWidth="1"/>
    <col min="10" max="16384" width="9.109375" style="37"/>
  </cols>
  <sheetData>
    <row r="1" spans="1:9" s="31" customFormat="1" ht="57.75" customHeight="1">
      <c r="A1" s="258" t="s">
        <v>93</v>
      </c>
      <c r="B1" s="258"/>
      <c r="C1" s="258"/>
      <c r="D1" s="258"/>
      <c r="E1" s="258"/>
      <c r="F1" s="258"/>
      <c r="G1" s="258"/>
      <c r="H1" s="30"/>
      <c r="I1" s="30"/>
    </row>
    <row r="2" spans="1:9" s="31" customFormat="1" ht="18" customHeight="1">
      <c r="A2" s="32"/>
      <c r="B2" s="33"/>
      <c r="C2" s="56"/>
      <c r="D2" s="34" t="s">
        <v>84</v>
      </c>
      <c r="E2" s="35"/>
      <c r="F2" s="35"/>
      <c r="G2" s="36" t="s">
        <v>84</v>
      </c>
      <c r="H2" s="32"/>
    </row>
    <row r="3" spans="1:9" s="62" customFormat="1" ht="39.6">
      <c r="B3" s="259" t="s">
        <v>0</v>
      </c>
      <c r="C3" s="260"/>
      <c r="D3" s="63" t="s">
        <v>85</v>
      </c>
      <c r="E3" s="63" t="s">
        <v>86</v>
      </c>
      <c r="F3" s="63" t="s">
        <v>87</v>
      </c>
      <c r="G3" s="63" t="s">
        <v>88</v>
      </c>
    </row>
    <row r="4" spans="1:9" s="62" customFormat="1">
      <c r="B4" s="261"/>
      <c r="C4" s="262"/>
      <c r="D4" s="64" t="s">
        <v>89</v>
      </c>
      <c r="E4" s="64" t="s">
        <v>90</v>
      </c>
      <c r="F4" s="64" t="s">
        <v>91</v>
      </c>
      <c r="G4" s="64" t="s">
        <v>84</v>
      </c>
    </row>
    <row r="5" spans="1:9" s="62" customFormat="1">
      <c r="A5" s="65"/>
      <c r="B5" s="66"/>
      <c r="C5" s="83"/>
      <c r="D5" s="67" t="s">
        <v>84</v>
      </c>
      <c r="E5" s="68"/>
      <c r="F5" s="68"/>
      <c r="G5" s="69"/>
    </row>
    <row r="6" spans="1:9" s="62" customFormat="1">
      <c r="A6" s="65"/>
      <c r="B6" s="70" t="s">
        <v>17</v>
      </c>
      <c r="C6" s="84" t="s">
        <v>18</v>
      </c>
      <c r="D6" s="71" t="s">
        <v>89</v>
      </c>
      <c r="E6" s="71" t="s">
        <v>90</v>
      </c>
      <c r="F6" s="71" t="s">
        <v>91</v>
      </c>
      <c r="G6" s="72"/>
    </row>
    <row r="7" spans="1:9" s="62" customFormat="1" ht="26.4">
      <c r="A7" s="73" t="s">
        <v>16</v>
      </c>
      <c r="B7" s="74" t="s">
        <v>23</v>
      </c>
      <c r="C7" s="75" t="s">
        <v>24</v>
      </c>
      <c r="D7" s="76">
        <v>11000</v>
      </c>
      <c r="E7" s="76" t="s">
        <v>20</v>
      </c>
      <c r="F7" s="76" t="s">
        <v>20</v>
      </c>
      <c r="G7" s="77">
        <f>D7+E7+F7</f>
        <v>11000</v>
      </c>
    </row>
    <row r="8" spans="1:9" s="62" customFormat="1">
      <c r="A8" s="73"/>
      <c r="B8" s="74" t="s">
        <v>25</v>
      </c>
      <c r="C8" s="75" t="s">
        <v>26</v>
      </c>
      <c r="D8" s="76">
        <v>0</v>
      </c>
      <c r="E8" s="76">
        <v>0</v>
      </c>
      <c r="F8" s="76">
        <v>0</v>
      </c>
      <c r="G8" s="77">
        <v>0</v>
      </c>
    </row>
    <row r="9" spans="1:9" s="62" customFormat="1">
      <c r="A9" s="78"/>
      <c r="B9" s="74" t="s">
        <v>27</v>
      </c>
      <c r="C9" s="75" t="s">
        <v>28</v>
      </c>
      <c r="D9" s="76">
        <v>181000</v>
      </c>
      <c r="E9" s="76" t="s">
        <v>20</v>
      </c>
      <c r="F9" s="76">
        <v>0</v>
      </c>
      <c r="G9" s="77">
        <f>D9+E9+F9</f>
        <v>181000</v>
      </c>
    </row>
    <row r="10" spans="1:9" s="62" customFormat="1">
      <c r="A10" s="78"/>
      <c r="B10" s="74" t="s">
        <v>29</v>
      </c>
      <c r="C10" s="75" t="s">
        <v>30</v>
      </c>
      <c r="D10" s="76">
        <v>205656</v>
      </c>
      <c r="E10" s="76" t="s">
        <v>20</v>
      </c>
      <c r="F10" s="76" t="s">
        <v>20</v>
      </c>
      <c r="G10" s="77">
        <f>D10+E10+F10</f>
        <v>205656</v>
      </c>
    </row>
    <row r="11" spans="1:9" s="62" customFormat="1">
      <c r="A11" s="78"/>
      <c r="B11" s="74" t="s">
        <v>33</v>
      </c>
      <c r="C11" s="75" t="s">
        <v>34</v>
      </c>
      <c r="D11" s="76">
        <v>4000</v>
      </c>
      <c r="E11" s="76" t="s">
        <v>20</v>
      </c>
      <c r="F11" s="76" t="s">
        <v>20</v>
      </c>
      <c r="G11" s="77">
        <f>D11+E11+F11</f>
        <v>4000</v>
      </c>
    </row>
    <row r="12" spans="1:9" s="62" customFormat="1" ht="26.4">
      <c r="A12" s="67" t="s">
        <v>16</v>
      </c>
      <c r="B12" s="79"/>
      <c r="C12" s="85" t="s">
        <v>35</v>
      </c>
      <c r="D12" s="80">
        <f>SUM(D7:D11)</f>
        <v>401656</v>
      </c>
      <c r="E12" s="80">
        <f>SUM(E7:E11)</f>
        <v>0</v>
      </c>
      <c r="F12" s="80">
        <f>SUM(F7:F11)</f>
        <v>0</v>
      </c>
      <c r="G12" s="80">
        <f>SUM(G7:G11)</f>
        <v>401656</v>
      </c>
    </row>
    <row r="13" spans="1:9" s="62" customFormat="1">
      <c r="C13" s="86"/>
    </row>
    <row r="14" spans="1:9" s="62" customFormat="1" ht="26.4">
      <c r="A14" s="65"/>
      <c r="B14" s="70" t="s">
        <v>25</v>
      </c>
      <c r="C14" s="84" t="s">
        <v>36</v>
      </c>
      <c r="D14" s="71" t="s">
        <v>89</v>
      </c>
      <c r="E14" s="71" t="s">
        <v>90</v>
      </c>
      <c r="F14" s="71" t="s">
        <v>91</v>
      </c>
      <c r="G14" s="72"/>
    </row>
    <row r="15" spans="1:9" s="62" customFormat="1">
      <c r="A15" s="73" t="s">
        <v>37</v>
      </c>
      <c r="B15" s="74" t="s">
        <v>17</v>
      </c>
      <c r="C15" s="75" t="s">
        <v>38</v>
      </c>
      <c r="D15" s="76">
        <v>10000</v>
      </c>
      <c r="E15" s="76">
        <v>90000</v>
      </c>
      <c r="F15" s="76" t="s">
        <v>20</v>
      </c>
      <c r="G15" s="77">
        <f>D15+E15+F15</f>
        <v>100000</v>
      </c>
    </row>
    <row r="16" spans="1:9" s="62" customFormat="1">
      <c r="A16" s="78"/>
      <c r="B16" s="74" t="s">
        <v>21</v>
      </c>
      <c r="C16" s="75" t="s">
        <v>39</v>
      </c>
      <c r="D16" s="76">
        <v>0</v>
      </c>
      <c r="E16" s="76" t="s">
        <v>20</v>
      </c>
      <c r="F16" s="76" t="s">
        <v>20</v>
      </c>
      <c r="G16" s="77">
        <f>D16+E16+F16</f>
        <v>0</v>
      </c>
    </row>
    <row r="17" spans="1:7" s="62" customFormat="1" ht="26.4">
      <c r="A17" s="67" t="s">
        <v>37</v>
      </c>
      <c r="B17" s="79"/>
      <c r="C17" s="85" t="s">
        <v>40</v>
      </c>
      <c r="D17" s="80">
        <f>SUM(D15:D16)</f>
        <v>10000</v>
      </c>
      <c r="E17" s="80">
        <f>SUM(E15:E16)</f>
        <v>90000</v>
      </c>
      <c r="F17" s="80">
        <f>SUM(F15:F16)</f>
        <v>0</v>
      </c>
      <c r="G17" s="80">
        <f>SUM(G15:G16)</f>
        <v>100000</v>
      </c>
    </row>
    <row r="18" spans="1:7" s="62" customFormat="1">
      <c r="C18" s="86"/>
    </row>
    <row r="19" spans="1:7" s="62" customFormat="1">
      <c r="A19" s="65"/>
      <c r="B19" s="70" t="s">
        <v>72</v>
      </c>
      <c r="C19" s="84" t="s">
        <v>73</v>
      </c>
      <c r="D19" s="71" t="s">
        <v>89</v>
      </c>
      <c r="E19" s="71" t="s">
        <v>90</v>
      </c>
      <c r="F19" s="71" t="s">
        <v>91</v>
      </c>
      <c r="G19" s="72"/>
    </row>
    <row r="20" spans="1:7" s="62" customFormat="1">
      <c r="A20" s="73" t="s">
        <v>74</v>
      </c>
      <c r="B20" s="74" t="s">
        <v>23</v>
      </c>
      <c r="C20" s="75" t="s">
        <v>77</v>
      </c>
      <c r="D20" s="76" t="s">
        <v>20</v>
      </c>
      <c r="E20" s="76" t="s">
        <v>20</v>
      </c>
      <c r="F20" s="76">
        <v>52500</v>
      </c>
      <c r="G20" s="77">
        <f>D20+E20+F20</f>
        <v>52500</v>
      </c>
    </row>
    <row r="21" spans="1:7" s="62" customFormat="1">
      <c r="A21" s="67" t="s">
        <v>74</v>
      </c>
      <c r="B21" s="79"/>
      <c r="C21" s="85" t="s">
        <v>78</v>
      </c>
      <c r="D21" s="80">
        <f>SUM(D19:D20)</f>
        <v>0</v>
      </c>
      <c r="E21" s="80">
        <f>SUM(E19:E20)</f>
        <v>0</v>
      </c>
      <c r="F21" s="80">
        <f>SUM(F19:F20)</f>
        <v>52500</v>
      </c>
      <c r="G21" s="80">
        <f>SUM(G19:G20)</f>
        <v>52500</v>
      </c>
    </row>
    <row r="22" spans="1:7" s="62" customFormat="1">
      <c r="C22" s="86"/>
    </row>
    <row r="23" spans="1:7" s="62" customFormat="1">
      <c r="A23" s="69"/>
      <c r="B23" s="263" t="s">
        <v>79</v>
      </c>
      <c r="C23" s="264"/>
      <c r="D23" s="82">
        <f>D21+D17+D12</f>
        <v>411656</v>
      </c>
      <c r="E23" s="82">
        <f>E21+E17+E12</f>
        <v>90000</v>
      </c>
      <c r="F23" s="82">
        <f>F21+F17+F12</f>
        <v>52500</v>
      </c>
      <c r="G23" s="82">
        <f>G21+G17+G12</f>
        <v>554156</v>
      </c>
    </row>
  </sheetData>
  <mergeCells count="3">
    <mergeCell ref="A1:G1"/>
    <mergeCell ref="B3:C4"/>
    <mergeCell ref="B23:C23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C21" sqref="C21:C26"/>
    </sheetView>
  </sheetViews>
  <sheetFormatPr defaultRowHeight="13.2"/>
  <cols>
    <col min="1" max="1" width="3" customWidth="1"/>
    <col min="2" max="2" width="3.5546875" customWidth="1"/>
    <col min="3" max="3" width="40.5546875" customWidth="1"/>
    <col min="4" max="6" width="15.5546875" customWidth="1"/>
    <col min="7" max="7" width="40.109375" customWidth="1"/>
  </cols>
  <sheetData>
    <row r="1" spans="1:7" s="129" customFormat="1" ht="63" customHeight="1">
      <c r="A1" s="176" t="s">
        <v>94</v>
      </c>
      <c r="B1" s="267" t="s">
        <v>217</v>
      </c>
      <c r="C1" s="268"/>
      <c r="D1" s="268"/>
      <c r="E1" s="268"/>
      <c r="F1" s="268"/>
      <c r="G1" s="175"/>
    </row>
    <row r="2" spans="1:7" s="129" customFormat="1" ht="15" customHeight="1"/>
    <row r="3" spans="1:7" s="156" customFormat="1" ht="29.25" customHeight="1">
      <c r="B3" s="265" t="s">
        <v>0</v>
      </c>
      <c r="C3" s="265"/>
      <c r="D3" s="174" t="s">
        <v>205</v>
      </c>
      <c r="E3" s="174" t="s">
        <v>207</v>
      </c>
      <c r="F3" s="173" t="s">
        <v>8</v>
      </c>
    </row>
    <row r="4" spans="1:7" s="156" customFormat="1" ht="18" customHeight="1">
      <c r="B4" s="265"/>
      <c r="C4" s="265"/>
      <c r="D4" s="173" t="s">
        <v>214</v>
      </c>
      <c r="E4" s="173" t="s">
        <v>213</v>
      </c>
      <c r="F4" s="173" t="s">
        <v>43</v>
      </c>
    </row>
    <row r="5" spans="1:7" s="156" customFormat="1" ht="3" customHeight="1">
      <c r="B5" s="172"/>
      <c r="C5" s="172"/>
      <c r="D5" s="171" t="s">
        <v>205</v>
      </c>
      <c r="E5" s="171" t="s">
        <v>207</v>
      </c>
      <c r="F5" s="170"/>
    </row>
    <row r="6" spans="1:7" s="156" customFormat="1" ht="24" customHeight="1">
      <c r="B6" s="169" t="s">
        <v>216</v>
      </c>
      <c r="C6" s="168" t="s">
        <v>215</v>
      </c>
      <c r="D6" s="167" t="s">
        <v>214</v>
      </c>
      <c r="E6" s="167" t="s">
        <v>213</v>
      </c>
      <c r="F6" s="166"/>
    </row>
    <row r="7" spans="1:7" s="156" customFormat="1" ht="24" customHeight="1">
      <c r="B7" s="165" t="s">
        <v>17</v>
      </c>
      <c r="C7" s="164" t="s">
        <v>212</v>
      </c>
      <c r="D7" s="163">
        <v>4792300</v>
      </c>
      <c r="E7" s="163">
        <v>7000</v>
      </c>
      <c r="F7" s="163">
        <v>4799300</v>
      </c>
    </row>
    <row r="8" spans="1:7" s="156" customFormat="1" ht="24" customHeight="1">
      <c r="B8" s="162"/>
      <c r="C8" s="161" t="s">
        <v>211</v>
      </c>
      <c r="D8" s="160">
        <f>SUM(D7)</f>
        <v>4792300</v>
      </c>
      <c r="E8" s="160">
        <f>SUM(E7)</f>
        <v>7000</v>
      </c>
      <c r="F8" s="160">
        <f>SUM(F7)</f>
        <v>4799300</v>
      </c>
    </row>
    <row r="9" spans="1:7" s="156" customFormat="1" ht="10.199999999999999"/>
    <row r="10" spans="1:7" s="156" customFormat="1" ht="10.199999999999999">
      <c r="B10" s="159"/>
      <c r="C10" s="159"/>
      <c r="D10" s="158"/>
      <c r="E10" s="158"/>
      <c r="F10" s="158"/>
    </row>
    <row r="11" spans="1:7" s="156" customFormat="1" ht="10.199999999999999">
      <c r="B11" s="266" t="s">
        <v>79</v>
      </c>
      <c r="C11" s="266"/>
      <c r="D11" s="157">
        <f>D8</f>
        <v>4792300</v>
      </c>
      <c r="E11" s="157">
        <f>E8</f>
        <v>7000</v>
      </c>
      <c r="F11" s="157">
        <f>F8</f>
        <v>4799300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Macro CORRENTI 2020</vt:lpstr>
      <vt:lpstr>Macro CORRENTI 2021</vt:lpstr>
      <vt:lpstr>Macro CORRENTI 2022</vt:lpstr>
      <vt:lpstr>Macro CAPITALE 2020</vt:lpstr>
      <vt:lpstr>Macro CAPITALE 2021</vt:lpstr>
      <vt:lpstr>Macro CAPITALE 2022</vt:lpstr>
      <vt:lpstr>Macro Partite di giro 2020</vt:lpstr>
      <vt:lpstr>Macro Partite di giro 2021</vt:lpstr>
      <vt:lpstr>Macro Partite di giro  2022</vt:lpstr>
      <vt:lpstr>'Entrate per categoria'!Area_stampa</vt:lpstr>
      <vt:lpstr>'Macro CAPITALE 2020'!Area_stampa</vt:lpstr>
      <vt:lpstr>'Macro CAPITALE 2021'!Area_stampa</vt:lpstr>
      <vt:lpstr>'Macro CAPITALE 2022'!Area_stampa</vt:lpstr>
      <vt:lpstr>'Macro CORRENTI 2020'!Area_stampa</vt:lpstr>
      <vt:lpstr>'Macro CORRENTI 2021'!Area_stampa</vt:lpstr>
      <vt:lpstr>'Macro CORRENTI 2022'!Area_stampa</vt:lpstr>
      <vt:lpstr>'Macro Partite di giro  2022'!Area_stampa</vt:lpstr>
      <vt:lpstr>'Macro Partite di giro 2020'!Area_stampa</vt:lpstr>
      <vt:lpstr>'Macro Partite di giro 2021'!Area_stampa</vt:lpstr>
      <vt:lpstr>'Riepilogo SPESE '!Area_stampa</vt:lpstr>
      <vt:lpstr>'Entrate per categoria'!Titoli_stampa</vt:lpstr>
      <vt:lpstr>'Macro CORRENTI 2020'!Titoli_stampa</vt:lpstr>
      <vt:lpstr>'Macro CORRENTI 2021'!Titoli_stampa</vt:lpstr>
      <vt:lpstr>'Macro CORRENTI 2022'!Titoli_stampa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a.nenci</cp:lastModifiedBy>
  <cp:lastPrinted>2020-11-26T11:53:26Z</cp:lastPrinted>
  <dcterms:created xsi:type="dcterms:W3CDTF">2020-12-11T12:24:30Z</dcterms:created>
  <dcterms:modified xsi:type="dcterms:W3CDTF">2020-12-11T12:24:30Z</dcterms:modified>
</cp:coreProperties>
</file>