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440" windowHeight="8415" tabRatio="788" activeTab="2"/>
  </bookViews>
  <sheets>
    <sheet name="All A Indicatori sint 2020" sheetId="14" r:id="rId1"/>
    <sheet name="All A-Entrate - Ind. anal 2020" sheetId="11" r:id="rId2"/>
    <sheet name="All A Spese - Ind. anal 2020" sheetId="12" r:id="rId3"/>
  </sheets>
  <definedNames>
    <definedName name="_xlnm.Print_Area" localSheetId="0">'All A Indicatori sint 2020'!$A$1:$L$66</definedName>
    <definedName name="_xlnm.Print_Area" localSheetId="2">'All A Spese - Ind. anal 2020'!$A$1:$M$131</definedName>
    <definedName name="_xlnm.Print_Area" localSheetId="1">'All A-Entrate - Ind. anal 2020'!$A$1:$H$56</definedName>
    <definedName name="_xlnm.Print_Titles" localSheetId="0">'All A Indicatori sint 2020'!$1:$7</definedName>
    <definedName name="_xlnm.Print_Titles" localSheetId="2">'All A Spese - Ind. anal 2020'!$1:$8</definedName>
    <definedName name="_xlnm.Print_Titles" localSheetId="1">'All A-Entrate - Ind. anal 2020'!$1:$7</definedName>
  </definedNames>
  <calcPr calcId="145621"/>
</workbook>
</file>

<file path=xl/calcChain.xml><?xml version="1.0" encoding="utf-8"?>
<calcChain xmlns="http://schemas.openxmlformats.org/spreadsheetml/2006/main">
  <c r="L9" i="12"/>
  <c r="K9"/>
  <c r="L29"/>
  <c r="M29"/>
  <c r="K29"/>
  <c r="L30" i="14" l="1"/>
  <c r="K30"/>
  <c r="J30"/>
  <c r="F30"/>
  <c r="E30"/>
  <c r="D30"/>
  <c r="D27"/>
  <c r="L29"/>
  <c r="K29"/>
  <c r="J29"/>
  <c r="F29"/>
  <c r="E29"/>
  <c r="D29"/>
  <c r="L28"/>
  <c r="K28"/>
  <c r="J28"/>
  <c r="L27"/>
  <c r="K27"/>
  <c r="J27"/>
  <c r="L19"/>
  <c r="K19"/>
  <c r="J19"/>
  <c r="D19"/>
  <c r="E19"/>
  <c r="F19"/>
  <c r="L18"/>
  <c r="K18"/>
  <c r="J18"/>
  <c r="D18"/>
  <c r="L16"/>
  <c r="K16"/>
  <c r="J16"/>
  <c r="L9"/>
  <c r="K9"/>
  <c r="J9"/>
  <c r="E9"/>
  <c r="J36" l="1"/>
  <c r="D36"/>
  <c r="J35"/>
  <c r="D35"/>
  <c r="L55"/>
  <c r="K55"/>
  <c r="J55"/>
  <c r="F55"/>
  <c r="E55"/>
  <c r="D55"/>
  <c r="F54"/>
  <c r="E54"/>
  <c r="D54"/>
  <c r="K52"/>
  <c r="J52"/>
  <c r="E52"/>
  <c r="D52"/>
  <c r="D45"/>
  <c r="D44"/>
  <c r="D43"/>
  <c r="D42"/>
  <c r="F28"/>
  <c r="E28"/>
  <c r="D28"/>
  <c r="F27"/>
  <c r="E27"/>
  <c r="F18"/>
  <c r="E18"/>
  <c r="F16"/>
  <c r="E16"/>
  <c r="D16"/>
  <c r="F9"/>
  <c r="D9"/>
  <c r="K130" i="12" l="1"/>
  <c r="K128"/>
  <c r="K85"/>
  <c r="L75"/>
  <c r="L74"/>
  <c r="K74"/>
  <c r="K72"/>
  <c r="L63"/>
  <c r="K63"/>
  <c r="K49"/>
  <c r="K47"/>
  <c r="L14"/>
  <c r="K40"/>
  <c r="K39"/>
  <c r="M27"/>
  <c r="L27"/>
  <c r="K27"/>
  <c r="F31" i="11" l="1"/>
  <c r="F27"/>
  <c r="K75" i="12"/>
  <c r="K84"/>
  <c r="F53" i="11" l="1"/>
  <c r="F52"/>
  <c r="F34"/>
  <c r="F32"/>
  <c r="F55"/>
  <c r="F54"/>
  <c r="H35"/>
  <c r="F35"/>
  <c r="H34"/>
  <c r="F28"/>
  <c r="F25" l="1"/>
  <c r="H24"/>
  <c r="F24"/>
  <c r="F23"/>
  <c r="M100" i="12" l="1"/>
  <c r="M97"/>
  <c r="M39"/>
  <c r="L85"/>
  <c r="L84"/>
  <c r="L72"/>
  <c r="L56"/>
  <c r="L42"/>
  <c r="L39"/>
  <c r="L21"/>
  <c r="L16"/>
  <c r="L13"/>
  <c r="L11"/>
  <c r="L10"/>
  <c r="K115"/>
  <c r="K114"/>
  <c r="K100" l="1"/>
  <c r="K97"/>
  <c r="K56"/>
  <c r="K42"/>
  <c r="K21"/>
  <c r="K19"/>
  <c r="K18"/>
  <c r="K16"/>
  <c r="K14"/>
  <c r="K13"/>
  <c r="K11"/>
  <c r="L25" i="14" l="1"/>
  <c r="K25"/>
  <c r="J25"/>
  <c r="F25"/>
  <c r="E25"/>
  <c r="D25"/>
  <c r="L23"/>
  <c r="K23"/>
  <c r="J23"/>
  <c r="F23"/>
  <c r="E23"/>
  <c r="D23"/>
  <c r="M115" i="12" l="1"/>
  <c r="M114"/>
  <c r="M96"/>
  <c r="K96" l="1"/>
  <c r="H32" i="11"/>
  <c r="G19" l="1"/>
  <c r="G55" l="1"/>
  <c r="E55"/>
  <c r="D55"/>
  <c r="C55"/>
  <c r="G52"/>
  <c r="G35"/>
  <c r="G28"/>
  <c r="G27"/>
  <c r="G21"/>
  <c r="G16"/>
</calcChain>
</file>

<file path=xl/comments1.xml><?xml version="1.0" encoding="utf-8"?>
<comments xmlns="http://schemas.openxmlformats.org/spreadsheetml/2006/main">
  <authors>
    <author>grassi</author>
  </authors>
  <commentList>
    <comment ref="I9" authorId="0">
      <text>
        <r>
          <rPr>
            <b/>
            <sz val="9"/>
            <color indexed="81"/>
            <rFont val="Tahoma"/>
            <family val="2"/>
          </rPr>
          <t>grassi:</t>
        </r>
        <r>
          <rPr>
            <sz val="9"/>
            <color indexed="81"/>
            <rFont val="Tahoma"/>
            <family val="2"/>
          </rPr>
          <t xml:space="preserve">
aumentato di 0,01 per arrotondamenti altrimenti il totale non farebbe 100%</t>
        </r>
      </text>
    </comment>
  </commentList>
</comments>
</file>

<file path=xl/sharedStrings.xml><?xml version="1.0" encoding="utf-8"?>
<sst xmlns="http://schemas.openxmlformats.org/spreadsheetml/2006/main" count="559" uniqueCount="416">
  <si>
    <t>Debiti non finanziari</t>
  </si>
  <si>
    <t>Debiti finanziari</t>
  </si>
  <si>
    <t>Organi istituzionali</t>
  </si>
  <si>
    <t>MISSIONI E PROGRAMMI</t>
  </si>
  <si>
    <t xml:space="preserve">Segreteria generale </t>
  </si>
  <si>
    <t>Gestione economica, finanziaria,  programmazione, provveditorato</t>
  </si>
  <si>
    <t>Gestione delle entrate tributarie e servizi fiscali</t>
  </si>
  <si>
    <t>Gestione dei beni demaniali e patrimoniali</t>
  </si>
  <si>
    <t>Ufficio tecnico</t>
  </si>
  <si>
    <t xml:space="preserve"> Elezioni e consultazioni popolari - Anagrafe e stato civile  </t>
  </si>
  <si>
    <t xml:space="preserve"> Statistica e sistemi informativi</t>
  </si>
  <si>
    <t xml:space="preserve"> Assistenza tecnico-amministrativa agli enti locali</t>
  </si>
  <si>
    <t>Risorse umane</t>
  </si>
  <si>
    <t>Altri servizi generali</t>
  </si>
  <si>
    <t>Uffici giudiziari</t>
  </si>
  <si>
    <t>Casa circondariale e altri servizi</t>
  </si>
  <si>
    <t>Polizia locale e amministrativa</t>
  </si>
  <si>
    <t>Sistema integrato di sicurezza urbana</t>
  </si>
  <si>
    <t xml:space="preserve"> Istruzione prescolastica</t>
  </si>
  <si>
    <t>Altri ordini di istruzione non universitaria</t>
  </si>
  <si>
    <t>Istruzione universitaria</t>
  </si>
  <si>
    <t>Istruzione tecnica superiore</t>
  </si>
  <si>
    <t>Servizi ausiliari all’istruzione</t>
  </si>
  <si>
    <t>Diritto allo studio</t>
  </si>
  <si>
    <t>Valorizzazione dei beni di interesse storico</t>
  </si>
  <si>
    <t>Attività culturali e interventi diversi nel settore culturale</t>
  </si>
  <si>
    <t>Sport e tempo libero</t>
  </si>
  <si>
    <t>Giovani</t>
  </si>
  <si>
    <t>Sviluppo e la valorizzazione del turismo</t>
  </si>
  <si>
    <t>Urbanistica e assetto del territorio</t>
  </si>
  <si>
    <t>Edilizia residenziale pubblica e locale e piani di edilizia economico-popolare</t>
  </si>
  <si>
    <t>Difesa del suolo</t>
  </si>
  <si>
    <t>Tutela, valorizzazione e recupero ambientale</t>
  </si>
  <si>
    <t>Rifiuti</t>
  </si>
  <si>
    <t>Servizio idrico integrato</t>
  </si>
  <si>
    <t>Aree protette, parchi naturali, protezione naturalistica e forestazione</t>
  </si>
  <si>
    <t>Tutela e valorizzazione delle risorse idriche</t>
  </si>
  <si>
    <t>Sviluppo sostenibile territorio montano piccoli Comuni</t>
  </si>
  <si>
    <t>Qualità dell'aria e riduzione dell'inquinamento</t>
  </si>
  <si>
    <t>Trasporto ferroviario</t>
  </si>
  <si>
    <t>Trasporto pubblico locale</t>
  </si>
  <si>
    <t>Trasporto per vie d'acqua</t>
  </si>
  <si>
    <t>Altre modalità di trasporto</t>
  </si>
  <si>
    <t>Viabilità e infrastrutture stradali</t>
  </si>
  <si>
    <t>Sistema di protezione civile</t>
  </si>
  <si>
    <t>Interventi a seguito di calamità naturali</t>
  </si>
  <si>
    <t>Interventi per l'infanzia e  i minori e per asili nido</t>
  </si>
  <si>
    <t>Interventi per la disabilità</t>
  </si>
  <si>
    <t>Interventi per gli anziani</t>
  </si>
  <si>
    <t>Interventi per i soggetti a rischio di esclusione sociale</t>
  </si>
  <si>
    <t>Interventi  per le famiglie</t>
  </si>
  <si>
    <t>Interventi per il diritto alla casa</t>
  </si>
  <si>
    <t>Programmazione e governo della rete dei servizi sociosanitari e sociali</t>
  </si>
  <si>
    <t>Cooperazione e associazionismo</t>
  </si>
  <si>
    <t>Servizio necroscopico e cimiteriale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</si>
  <si>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</si>
  <si>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</si>
  <si>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</si>
  <si>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</si>
  <si>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</si>
  <si>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</si>
  <si>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</si>
  <si>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Industria,  PMI e Artigianato</t>
  </si>
  <si>
    <t>Commercio - reti distributive - tutela dei consumatori</t>
  </si>
  <si>
    <t xml:space="preserve">Ricerca e innovazione </t>
  </si>
  <si>
    <t xml:space="preserve">Reti e altri servizi di pubblica utilità </t>
  </si>
  <si>
    <t>Servizi per lo sviluppo del mercato del lavoro</t>
  </si>
  <si>
    <t>Formazione professionale</t>
  </si>
  <si>
    <t>Sostegno all'occupazione</t>
  </si>
  <si>
    <t>Sviluppo del settore agricolo e del sistema agroalimentare</t>
  </si>
  <si>
    <t>Caccia e pesca</t>
  </si>
  <si>
    <t>Fonti energetiche</t>
  </si>
  <si>
    <t>Relazioni finanziarie con le altre autonomie territoriali</t>
  </si>
  <si>
    <t>Relazioni internazionali e Cooperazione allo sviluppo</t>
  </si>
  <si>
    <t>Fondo di riserva</t>
  </si>
  <si>
    <t>Fondo  crediti di dubbia esigibilità</t>
  </si>
  <si>
    <t>Altri fondi</t>
  </si>
  <si>
    <t>Quota interessi ammortamento mutui e prestiti obbligazionari</t>
  </si>
  <si>
    <t>Quota capitale ammortamento mutui e prestiti obbligazionari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</si>
  <si>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</si>
  <si>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</si>
  <si>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</si>
  <si>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</si>
  <si>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</si>
  <si>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</si>
  <si>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</si>
  <si>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</si>
  <si>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</si>
  <si>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</si>
  <si>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Totale TITOLO 1: Entrate correnti di natura tributaria, contributiva e perequativa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</si>
  <si>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</si>
  <si>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</si>
  <si>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</si>
  <si>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</si>
  <si>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</si>
  <si>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</si>
  <si>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</si>
  <si>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</si>
  <si>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</si>
  <si>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</si>
  <si>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</si>
  <si>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</si>
  <si>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Totale TITOLO 2: Trasferimenti correnti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</si>
  <si>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</si>
  <si>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</si>
  <si>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</si>
  <si>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</si>
  <si>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</si>
  <si>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</si>
  <si>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</si>
  <si>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</si>
  <si>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</si>
  <si>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30500</t>
  </si>
  <si>
    <t>Tipologia 500: Rimborsi e altre entrate correnti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</si>
  <si>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</si>
  <si>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</si>
  <si>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</si>
  <si>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</si>
  <si>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</si>
  <si>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</si>
  <si>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</si>
  <si>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</si>
  <si>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</si>
  <si>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</si>
  <si>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Totale TITOLO 4: Entrate in conto capitale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</si>
  <si>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</si>
  <si>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</si>
  <si>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</si>
  <si>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</si>
  <si>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</si>
  <si>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</si>
  <si>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</si>
  <si>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</si>
  <si>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</si>
  <si>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</si>
  <si>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Totale TITOLO 5: Entrate da riduzione di attività finanziarie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</si>
  <si>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</si>
  <si>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</si>
  <si>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</si>
  <si>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</si>
  <si>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</si>
  <si>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</si>
  <si>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</si>
  <si>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</si>
  <si>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</si>
  <si>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</si>
  <si>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Totale TITOLO 6: Accensione prestiti</t>
  </si>
  <si>
    <t>TITOLO 7:</t>
  </si>
  <si>
    <t>Anticipazioni da istituto tesoriere/cassiere</t>
  </si>
  <si>
    <t>70100</t>
  </si>
  <si>
    <t>Tipologia 100: Anticipazioni da istituto tesoriere/cassiere</t>
  </si>
  <si>
    <t>Totale TITOLO 7: Anticipazioni da istituto tesoriere/cassiere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</si>
  <si>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</si>
  <si>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</si>
  <si>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</si>
  <si>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</si>
  <si>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</si>
  <si>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</si>
  <si>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Totale TITOLO 9: Entrate per conto terzi e partite di giro</t>
  </si>
  <si>
    <t>TOTALE ENTRATE</t>
  </si>
  <si>
    <t>Titolo Tipologia</t>
  </si>
  <si>
    <t xml:space="preserve">Denominazione </t>
  </si>
  <si>
    <t xml:space="preserve">Missione 01  Servizi istituzionali,  generali e di gestione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</si>
  <si>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</si>
  <si>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</si>
  <si>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</si>
  <si>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</si>
  <si>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</si>
  <si>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</si>
  <si>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</si>
  <si>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</si>
  <si>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</si>
  <si>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010</t>
  </si>
  <si>
    <t>011</t>
  </si>
  <si>
    <t>012</t>
  </si>
  <si>
    <t>Missione 02 Giustizia</t>
  </si>
  <si>
    <t>TOTALE Missione 02 Giustizia</t>
  </si>
  <si>
    <t>Missione 03 Ordine pubblico e sicurezza</t>
  </si>
  <si>
    <t>TOTALE MISSIONE 03 Ordine pubblico e sicurezza</t>
  </si>
  <si>
    <t>Totale Missione  05 Tutela e valorizzazione deibeni e attività culturali</t>
  </si>
  <si>
    <t>Missione 06 Politiche giovanili sport e tempo libero</t>
  </si>
  <si>
    <t>Totale Missione 06 Politiche giovanili sport e tempo libero</t>
  </si>
  <si>
    <t>08'</t>
  </si>
  <si>
    <t>TOTALE MISSIONE 04 Istruzione e diritto allo studio</t>
  </si>
  <si>
    <t>Missione 04 Istruzione e diritto allo studio</t>
  </si>
  <si>
    <t>Missione 07 Turismo</t>
  </si>
  <si>
    <t>Totale Missione 07 Turismo</t>
  </si>
  <si>
    <t>Totale Missione 08 Assetto del territorio ed edilizia abitativa</t>
  </si>
  <si>
    <t>Missione 09 Sviluppo sostenibile e tutela del territorio e dell'ambiente</t>
  </si>
  <si>
    <t>Totale Missione 09 Sviluppo sostenibile e tutela del territorio e dell'ambiente</t>
  </si>
  <si>
    <t>Missione 10 Trasporti e diritto alla mobilità</t>
  </si>
  <si>
    <t xml:space="preserve">Totale Missione 10 Trasporti e diritto alla mobilità </t>
  </si>
  <si>
    <t>Missione 017 Energia e diversificazione delle fonti energetiche</t>
  </si>
  <si>
    <t>Totale Missione 017 Energia e diversificazione delle fonti energetiche</t>
  </si>
  <si>
    <t>Missione 018 Relazioni con le altre autonomie territoriali e locali</t>
  </si>
  <si>
    <t>Totale Missione 018 Relazioni con le altre autonomie territoriali e locali</t>
  </si>
  <si>
    <t>TOTALE Missione 01  Servizi istituzionali,  generali e di gestione</t>
  </si>
  <si>
    <t>Tipologia 400: Altre entrate da redditi di capitale</t>
  </si>
  <si>
    <t>30000</t>
  </si>
  <si>
    <t>Totale titolo 3 : Entrate extratributarie</t>
  </si>
  <si>
    <t>TITTOLO 4 :</t>
  </si>
  <si>
    <t xml:space="preserve">Entrate in conto capitale </t>
  </si>
  <si>
    <t>40000</t>
  </si>
  <si>
    <t>Entrate correnti</t>
  </si>
  <si>
    <t>1.1</t>
  </si>
  <si>
    <t>Interessi passivi</t>
  </si>
  <si>
    <t>2.1</t>
  </si>
  <si>
    <t>3.1</t>
  </si>
  <si>
    <t>3.2</t>
  </si>
  <si>
    <t>4.1</t>
  </si>
  <si>
    <t>Rigidità strutturale di bilancio</t>
  </si>
  <si>
    <t>Incidenza degli interessi passivi sulle entrate correnti (che ne costituiscono la fonte di copertura)</t>
  </si>
  <si>
    <t>Incidenza degli interessi sulle anticipazioni sul totale degli interessi passivi</t>
  </si>
  <si>
    <t>Incidenza degli interessi di mora sul totale degli interessi passivi</t>
  </si>
  <si>
    <t>5.1</t>
  </si>
  <si>
    <t>5.2</t>
  </si>
  <si>
    <t>6.1</t>
  </si>
  <si>
    <t>6.2</t>
  </si>
  <si>
    <t>6.3</t>
  </si>
  <si>
    <t>7.1</t>
  </si>
  <si>
    <t>7.2</t>
  </si>
  <si>
    <t>3.3</t>
  </si>
  <si>
    <t>3.4</t>
  </si>
  <si>
    <t>Incidenza estinzioni debiti finanziari</t>
  </si>
  <si>
    <t>Sostenibilità debiti finanziari</t>
  </si>
  <si>
    <t>Piano degli indicatori di bilancio</t>
  </si>
  <si>
    <t>Indicatori analitici concernenti la composizione delle entrate e la capacità di riscossione</t>
  </si>
  <si>
    <t>Indicatore di smaltimento debiti commerciali</t>
  </si>
  <si>
    <t>Indicatori analitici concernenti la composizione delle spese per missioni e programmi e la capacità dell'amministrazione di pagare i debiti negli esercizi di riferimento</t>
  </si>
  <si>
    <t>Anticipazioni per il finanziamento del sistema sanitario nazionale</t>
  </si>
  <si>
    <t>Missione 11 Soccorso civile</t>
  </si>
  <si>
    <t>Totale Missione 11 Soccorso civile</t>
  </si>
  <si>
    <t>Missione 05 Tutela e valorizzazione dei beni e delle attività culturali</t>
  </si>
  <si>
    <t>Missione 12 Diritti sociali, politiche sociali e famiglia</t>
  </si>
  <si>
    <t>Totale Missione 12 Diritti sociali, politiche sociali e famiglia</t>
  </si>
  <si>
    <t>Missione 13 Tutela della salute</t>
  </si>
  <si>
    <t>Totale Missione 13 Tutela della salute</t>
  </si>
  <si>
    <t>Missione 14 Sviluppo economico e competitività</t>
  </si>
  <si>
    <t>Totale Missione 14 Sviluppo economico e competitività</t>
  </si>
  <si>
    <t>Missione 15 Politiche per il lavoro e la formazione professionale</t>
  </si>
  <si>
    <t>Totale Missione 15 Politiche per il lavoro e la formazione professionale</t>
  </si>
  <si>
    <t>Missione 16 Agricoltura, politiche agroalimentari e pesca</t>
  </si>
  <si>
    <t>Totale Missione 16 Agricoltura, politiche agroalimentari e pesca</t>
  </si>
  <si>
    <t>Missione 19 Relazioni internazionali</t>
  </si>
  <si>
    <t>Totale Missione 19 Relazioni internazionali</t>
  </si>
  <si>
    <t>Missione 20 Fondi e accantonamenti</t>
  </si>
  <si>
    <t>Totale Missione 20 Fondi e accantonamenti</t>
  </si>
  <si>
    <t>Missione 50 Debito pubblico</t>
  </si>
  <si>
    <t>Totale Missione 50 Debito pubblico</t>
  </si>
  <si>
    <t>Missione 60 Anticipazioni finanziarie</t>
  </si>
  <si>
    <t>Totale Missione 60 Anticipazioni finanziarie</t>
  </si>
  <si>
    <t>Missione 99 Servizi per conto terzi</t>
  </si>
  <si>
    <t>Totale Missione 99 Servizi per conto terzi</t>
  </si>
  <si>
    <t>Incidenza investimenti su spesa corrente e in conto capitale</t>
  </si>
  <si>
    <t>5.3</t>
  </si>
  <si>
    <t>8.1</t>
  </si>
  <si>
    <t>8.2</t>
  </si>
  <si>
    <t>Sostenibilità disavanzo a carico dell'esercizio</t>
  </si>
  <si>
    <t>Indicatore di realizzazione delle previsioni di cassa corrente</t>
  </si>
  <si>
    <t>2.2</t>
  </si>
  <si>
    <t>Quota investimenti complessivi finanziati dal risparmio corrente</t>
  </si>
  <si>
    <t>Quota investimenti complessivi finanziati dal saldo positivo delle partite finanziarie</t>
  </si>
  <si>
    <t>Quota investimenti complessivi finanziati da debito</t>
  </si>
  <si>
    <t>Disavanzo di amministrazione presunto dell'esercizio precedente</t>
  </si>
  <si>
    <t>Incidenza quota libera di parte corrente nell'avanzo presunto</t>
  </si>
  <si>
    <t>Incidenza quota libera in c/capitale nell'avanzo presunto</t>
  </si>
  <si>
    <t>Incidenza quota accantonata nell'avanzo presunto</t>
  </si>
  <si>
    <t>Incidenza quota vincolata nell'avanzo presunto</t>
  </si>
  <si>
    <t>Composizione avanzo di amministrazione presunto dell'esercizio precedente (5)</t>
  </si>
  <si>
    <t>Esternalizzazione dei servizi</t>
  </si>
  <si>
    <t>Indicatore di esternalizzazione dei servizi</t>
  </si>
  <si>
    <t>6.4</t>
  </si>
  <si>
    <t>6.5</t>
  </si>
  <si>
    <t>6.6</t>
  </si>
  <si>
    <t>6.7</t>
  </si>
  <si>
    <t>9.1</t>
  </si>
  <si>
    <t>9.2</t>
  </si>
  <si>
    <t>9.3</t>
  </si>
  <si>
    <t>9.4</t>
  </si>
  <si>
    <t>10.1</t>
  </si>
  <si>
    <t>10.2</t>
  </si>
  <si>
    <t>10.3</t>
  </si>
  <si>
    <t>8.3</t>
  </si>
  <si>
    <t>2.3</t>
  </si>
  <si>
    <t>2.4</t>
  </si>
  <si>
    <t>Indicatore di realizzazione delle previsioni di cassa concernenti le entrate proprie</t>
  </si>
  <si>
    <t xml:space="preserve">Quota disavanzo che si prevede di ripianare nell'esercizio </t>
  </si>
  <si>
    <t>10.4</t>
  </si>
  <si>
    <t>Sostenibilità patrimoniale del disavanzo presunto</t>
  </si>
  <si>
    <t>Composizione delle entrate (dati percentuali)</t>
  </si>
  <si>
    <t>Indicatore di realizzazione delle previsioni di competenza concernenti le entrate proprie</t>
  </si>
  <si>
    <t>Indicatore di smaltimento debiti verso altre amministrazioni pubbliche</t>
  </si>
  <si>
    <t>Indicatore di realizzazione delle previsioni di competenza concernenti le entrate correnti</t>
  </si>
  <si>
    <t>Partite di giro e conto terzi</t>
  </si>
  <si>
    <t>Incidenza partite di giro e conto terzi in entrata</t>
  </si>
  <si>
    <t>Incidenza partite di giro e conto terzi in uscita</t>
  </si>
  <si>
    <t>11.1</t>
  </si>
  <si>
    <t>Fondo pluriennale vincolato</t>
  </si>
  <si>
    <t>12.1</t>
  </si>
  <si>
    <t>12.2</t>
  </si>
  <si>
    <t>Utilizzo del FPV</t>
  </si>
  <si>
    <r>
      <rPr>
        <b/>
        <sz val="10"/>
        <rFont val="Arial"/>
        <family val="2"/>
      </rPr>
      <t>di cui incidenza FPV:</t>
    </r>
    <r>
      <rPr>
        <sz val="10"/>
        <rFont val="Arial"/>
        <family val="2"/>
      </rPr>
      <t xml:space="preserve"> Previsioni  stanziamento  FPV/ Previsione FPV totale </t>
    </r>
  </si>
  <si>
    <r>
      <rPr>
        <b/>
        <sz val="10"/>
        <rFont val="Arial"/>
        <family val="2"/>
      </rPr>
      <t>di cui incidenza  FPV:</t>
    </r>
    <r>
      <rPr>
        <sz val="10"/>
        <rFont val="Arial"/>
        <family val="2"/>
      </rPr>
      <t xml:space="preserve"> Media FPV / Media Totale FPV </t>
    </r>
  </si>
  <si>
    <r>
      <t xml:space="preserve">MEDIA TRE RENDICONTI  PRECEDENTI (O  DI PRECONSUNTIVO DISPONIBILE) (*)
</t>
    </r>
    <r>
      <rPr>
        <sz val="10"/>
        <rFont val="Arial"/>
        <family val="2"/>
      </rPr>
      <t>(dati percentuali)</t>
    </r>
  </si>
  <si>
    <r>
      <rPr>
        <b/>
        <sz val="10"/>
        <rFont val="Arial"/>
        <family val="2"/>
      </rPr>
      <t xml:space="preserve">Incidenza Missione programma: Media </t>
    </r>
    <r>
      <rPr>
        <sz val="10"/>
        <rFont val="Arial"/>
        <family val="2"/>
      </rPr>
      <t xml:space="preserve">(Impegni + FPV) /Media (Totale impegni + Totale FPV) </t>
    </r>
  </si>
  <si>
    <t xml:space="preserve">Tipologia 102: Tributi destinati al finanziamento della sanità </t>
  </si>
  <si>
    <t xml:space="preserve">Tipologia 103: Tributi devoluti e regolati alle autonomie speciali </t>
  </si>
  <si>
    <t xml:space="preserve">Politica regionale unitaria per i servizi istituzionali, generali e di gestione </t>
  </si>
  <si>
    <t xml:space="preserve">Politica regionale unitaria per la giustizia </t>
  </si>
  <si>
    <t xml:space="preserve">Edilizia scolastica </t>
  </si>
  <si>
    <t xml:space="preserve">Politica regionale unitaria per l'istruzione e il diritto allo studio </t>
  </si>
  <si>
    <t xml:space="preserve">Politica regionale unitaria per la tutela dei beni e delle attività culturali </t>
  </si>
  <si>
    <t xml:space="preserve">Politica regionale unitaria per i giovani, lo sport e il tempo libero </t>
  </si>
  <si>
    <t xml:space="preserve">Politica regionale unitaria per il turismo </t>
  </si>
  <si>
    <t xml:space="preserve">Politica regionale unitaria per l'assetto del territorio e l'edilizia abitativa </t>
  </si>
  <si>
    <t xml:space="preserve">Politica regionale unitaria per lo sviluppo sostenibile e la tutela del territorio e l'ambiente </t>
  </si>
  <si>
    <t xml:space="preserve">Politica regionale unitaria per i trasporti e il diritto alla mobilità </t>
  </si>
  <si>
    <t xml:space="preserve">Politica regionale unitaria per il soccorso e la protezione civile  </t>
  </si>
  <si>
    <t xml:space="preserve">Politica regionale unitaria per i diritti sociali e la famiglia  </t>
  </si>
  <si>
    <t xml:space="preserve">Politica regionale unitaria per la tutela della salute  </t>
  </si>
  <si>
    <t xml:space="preserve">Politica regionale unitaria per lo sviluppo economico e la competitività </t>
  </si>
  <si>
    <t xml:space="preserve">Politica regionale unitaria per il lavoro e la formazione professionale </t>
  </si>
  <si>
    <t xml:space="preserve">Politica regionale unitaria per l'agricoltura, i sistemi agroalimentari, la caccia e la pesca </t>
  </si>
  <si>
    <t xml:space="preserve">Politica regionale unitaria per l'energia e la diversificazione delle fonti energetiche </t>
  </si>
  <si>
    <t xml:space="preserve">Politica regionale unitaria per le relazioni finanziarie con le altre autonomie territoriali </t>
  </si>
  <si>
    <t xml:space="preserve">Cooperazione territoriale </t>
  </si>
  <si>
    <t xml:space="preserve">Quota disavanzo presunto derivante da debito autorizzato e non contratto </t>
  </si>
  <si>
    <t xml:space="preserve"> </t>
  </si>
  <si>
    <r>
      <t>Media accertamenti nei tre esercizi precedenti / Media Totale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accertamenti nei tre esercizi precedenti  (*)</t>
    </r>
  </si>
  <si>
    <t xml:space="preserve">Percentuale  riscossione entrate </t>
  </si>
  <si>
    <t>Media riscossioni nei tre esercizi precedenti / Media accertamenti nei tre esercizi precedenti  (*)</t>
  </si>
  <si>
    <t>ESERCIZIO 2020</t>
  </si>
  <si>
    <r>
      <rPr>
        <b/>
        <sz val="10"/>
        <rFont val="Arial"/>
        <family val="2"/>
      </rPr>
      <t>Capacità di pagamento:</t>
    </r>
    <r>
      <rPr>
        <sz val="10"/>
        <rFont val="Arial"/>
        <family val="2"/>
      </rPr>
      <t xml:space="preserve"> Media (Pagam. c/comp PC+ Pagam. c/residui PR)/ Media (Impegni I+ residui definitivi TR) </t>
    </r>
  </si>
  <si>
    <t>ESERCIZIO 2021</t>
  </si>
  <si>
    <t>Esercizio 2021: Previsioni competenza/  totale previsioni competenza</t>
  </si>
  <si>
    <t>Indicatori sintetici</t>
  </si>
  <si>
    <t>TIPOLOGIA INDICATORE</t>
  </si>
  <si>
    <t>DEFINIZIONE</t>
  </si>
  <si>
    <r>
      <t xml:space="preserve">VALORE INDICATORE 
</t>
    </r>
    <r>
      <rPr>
        <sz val="10"/>
        <rFont val="Arial"/>
        <family val="2"/>
      </rPr>
      <t>(indicare tante colonne quanti sono gli eserci considerati nel bilancio di previsione)
(dati percentuali)</t>
    </r>
  </si>
  <si>
    <t>TOTALE MISSIONI</t>
  </si>
  <si>
    <t>SOLO PER  MISSIONE 13 - TUTELA DELLA SALUTE</t>
  </si>
  <si>
    <t xml:space="preserve">TUTTE LE SPESE AL NETTO MISSIONE 13 </t>
  </si>
  <si>
    <t>Incidenza spese rigide (disavanzo, personale e debito) su entrate correnti (*)</t>
  </si>
  <si>
    <t>Media accertamenti primi tre titoli di entrata nei tre esercizi precedenti / Stanziamenti di competenza dei primi tre titoli delle "Entrate correnti" (4)</t>
  </si>
  <si>
    <t>Media incassi primi tre titoli di entrata nei tre esercizi precedenti / Stanziamenti di cassa dei primi tre titoli delle "Entrate correnti" (4)</t>
  </si>
  <si>
    <t xml:space="preserve">Spese di personale </t>
  </si>
  <si>
    <t xml:space="preserve">Incidenza spesa personale sulla spesa corrente
(Indicatore di equilibrio economico-finanziario)
</t>
  </si>
  <si>
    <r>
      <t xml:space="preserve">Incidenza del salario accessorio ed incentivante rispetto al totale della spesa di personale
</t>
    </r>
    <r>
      <rPr>
        <i/>
        <sz val="10"/>
        <rFont val="Arial"/>
        <family val="2"/>
      </rPr>
      <t>Indica il peso delle componenti afferenti la contrattazione decentrata dell'ente rispetto al totale dei redditi da lavoro</t>
    </r>
  </si>
  <si>
    <t xml:space="preserve">Stanziamenti di competenza (pdc 1.01.01.004 + 1.01.01.008 "indennità e altri compensi al personale a tempo indeterminato e determinato"+ pdc 1.01.01.003 + 1.01.01.007 "straordinario al personale a tempo indeterminato e determinato" + FPV in uscita concernente il Macroaggregato 1.1  – FPV di entrata concernente il Macroaggregato 1.1) / Stanziamenti di competenza (Macroaggregato 1.1 + pdc 1.02.01.01 "IRAP"– FPV di entrata concernente il Macroaggregato 1.1 + FPV spesa concernente il Macroaggregato 1.1)
</t>
  </si>
  <si>
    <t>Non rilevabile in quanto trattasi di spese previste nel bilancio della Regione Toscana - Giunta regionale.</t>
  </si>
  <si>
    <r>
      <t xml:space="preserve">Incidenza della spesa di personale con forme di contratto flessibile 
</t>
    </r>
    <r>
      <rPr>
        <i/>
        <sz val="10"/>
        <rFont val="Arial"/>
        <family val="2"/>
      </rPr>
      <t xml:space="preserve">
Indica come gli enti soddisfano le proprie esigenze di risorse umane, mixando le varie alternative contrattuali più rigide (personale dipendente) o meno rigide (forme di lavoro flessibile)</t>
    </r>
  </si>
  <si>
    <t>Spesa di personale procapite
(Indicatore di equilibrio dimensionale in valore assoluto)</t>
  </si>
  <si>
    <t>Stanziamenti di competenza (pdc U.1.03.02.15.000 "Contratti di servizio pubblico" + pdc U.1.04.03.01.000 "Trasferimenti correnti a imprese controllate" + pdc U.1.04.03.02.000 "Trasferimenti correnti a altre imprese partecipate") al netto del relativo FPV di spesa  / totale stanziamenti di competenza spese Titolo I al netto del FPV</t>
  </si>
  <si>
    <t>Stanziamenti di competenza Macroaggregato 1.7 "Interessi passivi" / Stanziamenti di competenza primi tre titoli ("Entrate correnti")</t>
  </si>
  <si>
    <t>Stanziamenti di competenza  voce del piano dei conti finanziario U.1.07.06.04.000 "Interessi passivi su anticipazioni di tesoreria" / Stanziamenti di competenza Macroaggregato 1.7 "Interessi passivi"</t>
  </si>
  <si>
    <r>
      <t xml:space="preserve">Stanziamenti di competenza voce del piano dei conti finanziario U.1.07.06.02.000 "Interessi di mora" / Stanziamenti di competenza  Macroaggregato 1.7 "Interessi passivi".
</t>
    </r>
    <r>
      <rPr>
        <i/>
        <sz val="10"/>
        <rFont val="Arial"/>
        <family val="2"/>
      </rPr>
      <t>Nota:  Il valore 100% dell’indicatore 5.3 deriva da uno stanziamento di € 500,00 raccordato alla codifica del pdc U.1.07.06.02.000 “Interessi di mora”, che costituisce ovviamente l’intero ammontare del macroaggregato 1.7 “Interessi passivi”.</t>
    </r>
  </si>
  <si>
    <t xml:space="preserve">Investimenti </t>
  </si>
  <si>
    <t>Totale stanziamento di competenza  Macroaggregati 2.2 + 2.3 al netto dei relativi FPV / Totale stanziamento di competenza titolo 1 e 2 della spesa al netto del FPV</t>
  </si>
  <si>
    <t>Investimenti diretti procapite
(Indicatore di equilibrio dimensionale in valore assoluto)</t>
  </si>
  <si>
    <t>Contributi agli investimenti procapite
(Indicatore di equilibrio dimensionale in valore assoluto)</t>
  </si>
  <si>
    <t>Investimenti complessivi procapite 
(Indicatore di equilibrio dimensionale in valore assoluto)</t>
  </si>
  <si>
    <t>Margine corrente di competenza / Stanziamenti di competenza (Macroaggregato 2.2 "Investimenti fissi lordi e acquisto di terreni" + Macroaggregato 2.3 "Contributi agli investimenti") (10)</t>
  </si>
  <si>
    <r>
      <t xml:space="preserve">Saldo positivo di competenza delle partite finanziarie / Stanziamenti di competenza (Macroaggregato 2.2 "Investimenti fissi lordi e acquisto di terreni" + Macroaggregato 2.3 "Contributi agli investimenti") (10)  </t>
    </r>
    <r>
      <rPr>
        <i/>
        <sz val="10"/>
        <rFont val="Arial"/>
        <family val="2"/>
      </rPr>
      <t xml:space="preserve"> (Nota: Il saldo positivo delle partite finanziarie è pari alla differenza tra il TItolo V delle entrate, che è pari a zero, e il titolo III delle spese)</t>
    </r>
  </si>
  <si>
    <t xml:space="preserve">Stanziamento di cassa (Macroaggregati 1.3 "Acquisto di beni e servizi" + 2.2 "Investimenti fissi lordi e acquisto di terreni") / stanziamenti di competenza e residui al netto dei relativi FPV (Macroaggregati 1.3 "Acquisto di beni e servizi" + 2.2 "Investimenti fissi lordi e acquisto di terreni") </t>
  </si>
  <si>
    <t>Stanziamenti di competenza [1.7 "Interessi passivi" – "Interessi di mora" (U.1.07.06.02.000) – "Interessi per anticipazioni prestiti" (U.1.07.06.04.000)]+ Titolo 4 della spesa – (Entrate categoria 4.02.06 "Contributi agli investimenti direttamente destinati al rimborso dei prestiti da amministrazioni pubbliche + Trasferimenti in conto capitale per assunzione di debiti dell'amministrazione da parte di amministrazioni pubbliche  (E.4.03.01.00.000) + Trasferimenti in conto capitale da parte di amministrazioni pubbliche per cancellazione di debiti dell'amministrazione  (E.4.03.04.00.000))] / Stanziamenti competenza titoli 1, 2 e 3 delle entrate</t>
  </si>
  <si>
    <t>Indebitamento procapite (in valore assoluto)</t>
  </si>
  <si>
    <t>Quota libera di parte corrente dell'avanzo presunto/Avanzo di amministrazione presunto (6)</t>
  </si>
  <si>
    <t>Quota libera in conto capitale dell'avanzo presunto/Avanzo di amministrazione presunto (7)</t>
  </si>
  <si>
    <t>Quota accantonata dell'avanzo presunto/Avanzo di amministrazione presunto (8)</t>
  </si>
  <si>
    <t>Quota vincolata dell'avanzo presunto/Avanzo di amministrazione presunto (9)</t>
  </si>
  <si>
    <t>Disavanzo iscritto in spesa del bilancio di previsione / Totale disavanzo di amministrazione di cui alla lettera E dell'allegato riguardante il risultato di amministrazione presunto (3)</t>
  </si>
  <si>
    <t xml:space="preserve">Totale disavanzo di amministrazione di cui alla lettera E dell'allegato riguardante il risultato di amministrazione presunto (3) / Patrimonio netto (1)  </t>
  </si>
  <si>
    <t>Disavanzo iscritto in spesa del bilancio di previsione / Competenza dei titoli 1, 2 e 3 delle entrate</t>
  </si>
  <si>
    <t>Disavanzo derivante da debito autorizzato e non contratto/Disavanzo di amministrazione di cui alla lettera E dell'allegato al bilancio di previsione riguardante il risultato di amministrazione presunto</t>
  </si>
  <si>
    <r>
      <t xml:space="preserve">(Fondo pluriennale vincolato corrente e capitale iscritto in entrata del bilancio - Quota del fondo pluriennale vincolato non destinata ad essere utilizzata nel corso dell'esercizio e rinviata agli esercizi successivi) / Fondo pluriennale vincolato corrente e capitale iscritto in entrata nel bilancio
</t>
    </r>
    <r>
      <rPr>
        <i/>
        <sz val="10"/>
        <rFont val="Arial"/>
        <family val="2"/>
      </rPr>
      <t>(Per il FPV riferirsi ai valori riportati nell'allegato del bilancio di previsione concernente il FPV, totale delle colonne a) e c)</t>
    </r>
  </si>
  <si>
    <r>
      <t xml:space="preserve">Totale stanziamenti di competenza per Entrate per conto terzi e partite di giro / Totale stanziamenti primi tre titoli delle entrate
</t>
    </r>
    <r>
      <rPr>
        <i/>
        <sz val="10"/>
        <rFont val="Arial"/>
        <family val="2"/>
      </rPr>
      <t>(al netto dell'anticipazione sanitaria erogata dalla Tesoreria dello Stato  e dei movimenti riguardanti la GSA e i conti di tesoreria sanitari e non sanitari)</t>
    </r>
  </si>
  <si>
    <r>
      <t xml:space="preserve">Totale stanziamenti di competenza per Uscite per conto terzi e partite di giro / Totale stanziamenti di competenza del titolo I della spesa
</t>
    </r>
    <r>
      <rPr>
        <i/>
        <sz val="10"/>
        <rFont val="Arial"/>
        <family val="2"/>
      </rPr>
      <t>(al netto del rimborso dell'anticipazione sanitaria erogata dalla Tesoreria dello Stato e dei movimenti riguardanti la GSA e i conti di tesoreria sanitari e non sanitari)</t>
    </r>
  </si>
  <si>
    <t xml:space="preserve">(*) Al netto del disavanzo da debito autorizzato e non contratto </t>
  </si>
  <si>
    <t>(1) Il Patrimonio netto è pari alla Lettera A) dell'ultimo stato patrimoniale passivo disponibile. In caso di Patrimonio netto negativo, l'indicatore non si calcola e si segnala che l'ente ha il patrimonio netto negativo. L'indicatore è elaborato a partire dal 2018, salvo per gli enti che hanno partecipato alla sperimentazione che lo elaborano a decorrere dal 2016. Le Autonomie speciali che adottano il DLgs 118/2011 dal 2016 elaborano l'indicatore a decorrere dal 2019.</t>
  </si>
  <si>
    <t>(2) Il debito di finanziamento è pari alla Lettera D1 dell'ultimo stato patrimoniale passivo disponibile. L'indicatore è elaborato a partire dal 2018, salvo che per gli enti che hanno partecipato alla sperimentazione che lo elaborano a decorrere dal 2016. Le Autonomie speciali che adottano il DLgs 118/2011 dal 2016 elaborano l'indicatore a decorrere dal 2019.</t>
  </si>
  <si>
    <t>(3) Indicatore da elaborare solo se la voce E dell'allegato a) al bilancio di previsione è negativo. Il disavanzo di amministrazione è pari all'importo della voce E. Ai fini dell'elaborazione dell'indicatore, non si considera il disavanzo tecnico di cui all'articolo 3, comma 13, del DLgs 118/2011 e il disavanzo da debito autorizzato e non contratto.</t>
  </si>
  <si>
    <t>(5) Da compilare solo se la voce E dell'allegato al bilancio concernente il risultato di amministrazione presunto è positivo o pari a 0.</t>
  </si>
  <si>
    <t>(6) La quota libera di parte corrente del risultato di amministrazione presunto è pari alla voce E riportata nell'allegato a) al bilancio di previsione. Il risultato di amministrazione presunto è pari alla lettera A riportata nell'allegato a) al bilancio di previsione.</t>
  </si>
  <si>
    <t>(7) La quota libera in c/capitale del risultato di amministrazione presunto è pari alla voce D riportata nell'allegato a) al bilancio di previsione. Il risultato di amministrazione presunto è pari alla lettera A riportata nel predetto allegato a).</t>
  </si>
  <si>
    <t>(8) La quota accantonata del risultato di amministrazione presunto è pari alla voce B riportata nell'allegato a) al bilancio di previsione. Il risultato di amministrazione presunto è pari alla lettera A riportata nel predetto allegato a).</t>
  </si>
  <si>
    <t>(9) La quota vincolata del risultato di amministrazione presunto è pari alla voce C riportata nell'allegato a) al bilancio di previsione. Il risultato di amministrazione presunto è pari alla lettera A riportata nel predetto allegato a).</t>
  </si>
  <si>
    <t>(10) Indicare al numeratore solo la quota del finanziamento destinata alla copertura di investimenti, e al denominatore escludere gli investimenti che, nell'esercizio, sono finanziati dal FPV.</t>
  </si>
  <si>
    <t>Esercizio 2020:      Previsioni competenza/  totale previsioni competenza</t>
  </si>
  <si>
    <t>Esercizio 2022: Previsioni competenza/  totale previsioni competenza</t>
  </si>
  <si>
    <t>Previsioni cassa esercizio 2020/ (previsioni competenza + residui) esercizio 2020</t>
  </si>
  <si>
    <t>ESERCIZIO 2022</t>
  </si>
  <si>
    <r>
      <t xml:space="preserve">BILANCIO DI PREVISIONE ESERCIZI 2020, 2021 e 2022 </t>
    </r>
    <r>
      <rPr>
        <sz val="10"/>
        <rFont val="Arial"/>
        <family val="2"/>
      </rPr>
      <t>(dati percentuali)</t>
    </r>
  </si>
  <si>
    <r>
      <t xml:space="preserve">Stanziamenti di competenza  per Macroaggregato 2.2 "Investimenti fissi lordi e acquisto di terreni" al netto del relativo FPV / popolazione residente  (al 1° gennaio dell'esercizio di riferimento o, se non disponibile, al 1° gennaio dell'ultimo anno disponibile).
</t>
    </r>
    <r>
      <rPr>
        <i/>
        <sz val="10"/>
        <rFont val="Arial"/>
        <family val="2"/>
      </rPr>
      <t>Nota:  La popolazione residente in Toscana  è quella risultante al 01.01.2019, pari a 3.729.641 unità (Fonte: elaborazione Settore Sistema Informativo di supporto alle decisioni. Ufficio regionale di Statistica su dati Demo Istat).</t>
    </r>
  </si>
  <si>
    <r>
      <t xml:space="preserve">Totale stanziamenti di competenza  per Macroaggregati 2.2 "Investimenti fissi lordi e acquisto di terreni" e 2.3 "Contributi agli investimenti" al netto dei relativi FPV / popolazione residente 
(al 1° gennaio dell'esercizio di riferimento o, se non disponibile, al 1° gennaio dell'ultimo anno disponibile).
</t>
    </r>
    <r>
      <rPr>
        <i/>
        <sz val="10"/>
        <rFont val="Arial"/>
        <family val="2"/>
      </rPr>
      <t>Nota:  La popolazione residente in Toscana  è quella risultante al 01.01.2019, pari a 3.729.641  unità (Fonte: elaborazione Settore Sistema Informativo di supporto alle decisioni. Ufficio regionale di Statistica su dati Demo Istat).</t>
    </r>
  </si>
  <si>
    <r>
      <rPr>
        <b/>
        <sz val="10"/>
        <rFont val="Arial"/>
        <family val="2"/>
      </rPr>
      <t>Incidenza  Missione/Programma:</t>
    </r>
    <r>
      <rPr>
        <sz val="10"/>
        <rFont val="Arial"/>
        <family val="2"/>
      </rPr>
      <t xml:space="preserve"> Previsioni stanziamento/ totale previsioni missioni </t>
    </r>
  </si>
  <si>
    <r>
      <rPr>
        <b/>
        <sz val="10"/>
        <rFont val="Arial"/>
        <family val="2"/>
      </rPr>
      <t>Capacità di pagamento:</t>
    </r>
    <r>
      <rPr>
        <sz val="10"/>
        <rFont val="Arial"/>
        <family val="2"/>
      </rPr>
      <t xml:space="preserve"> Previsioni cassa/ (previsioni competenza - FPV  + residui) </t>
    </r>
  </si>
  <si>
    <r>
      <rPr>
        <b/>
        <sz val="10"/>
        <rFont val="Arial"/>
        <family val="2"/>
      </rPr>
      <t>di cui incidenza  FPV:</t>
    </r>
    <r>
      <rPr>
        <sz val="10"/>
        <rFont val="Arial"/>
        <family val="2"/>
      </rPr>
      <t xml:space="preserve"> Previsioni  stanziamento  FPV/ Previsione FPV totale </t>
    </r>
  </si>
  <si>
    <r>
      <rPr>
        <b/>
        <sz val="10"/>
        <rFont val="Arial"/>
        <family val="2"/>
      </rPr>
      <t>Incidenza  Missione/Programma:</t>
    </r>
    <r>
      <rPr>
        <sz val="10"/>
        <rFont val="Arial"/>
        <family val="2"/>
      </rPr>
      <t xml:space="preserve"> Previsioni stanziamento/ totale previsioni missioni</t>
    </r>
  </si>
  <si>
    <t>Servizi per conto terzi - Partite di giro</t>
  </si>
  <si>
    <t>Allegato A</t>
  </si>
  <si>
    <r>
      <t xml:space="preserve">[Disavanzo iscritto in spesa + Stanziamenti competenza  (Macroaggregati 1.1 "Redditi di lavoro dipendente" + 1.7 "Interessi passivi" + Titolo 4 "Rimborso prestiti" + "IRAP" [pdc U.1.02.01.01] – FPV entrata concernente il Macroaggregato 1.1 + FPV spesa concernente il Macroaggregato 1.1)] / (Stanziamenti di competenza dei primi tre titoli delle Entrate + Utilizzo Fondo anticipazioni di liquidità del DL 35/2013) (*).
Nota: Il basso valore percentuale dell'indicatore è imputabile al fatto che la totalità della spesa per il personale consiliare è prevista negli stanziamenti di bilancio della Regione Toscana – Giunta regionale, eccetto la spesa per il servizio mensa, buoni pasto e Inail su tirocini formativi presso il Consiglio
</t>
    </r>
    <r>
      <rPr>
        <i/>
        <sz val="10"/>
        <rFont val="Arial"/>
        <family val="2"/>
      </rPr>
      <t/>
    </r>
  </si>
  <si>
    <t>Media accertamenti nei tre esercizi precedenti (pdc E.1.01.00.00.000 "Tributi" – E.1.01.04.00.000 "Compartecipazioni di tributi" + E.3.00.00.00.000 "Entrate extratributarie") / Stanziamenti di competenza dei primi tre titoli delle "Entrate correnti" (4)</t>
  </si>
  <si>
    <t>Media incassi nei tre esercizi precedenti (pdc E.1.01.00.00.000 "Tributi" – "Compartecipazioni di tributi" E.1.01.04.00.000 + E.3.00.00.00.000 "Entrate extratributarie") / Stanziamenti di cassa dei primi tre titoli delle "Entrate correnti" (4)</t>
  </si>
  <si>
    <t xml:space="preserve">Stanziamenti di competenza (Macroaggregato 1.1 + IRAP [pdc U.1.02.01.01] – FPV entrata concernente il Macroaggregato 1.1 + FPV spesa concernente il Macroaggregato 1.1) /
Stanziamenti competenza (Spesa corrente – FCDE corrente – FPV di entrata concernente il Macroaggregato 1.1 + FPV spesa concernente il Macroaggregato 1.1).
Nota: Il basso valore percentuale dell'indicatore è imputabile al fatto che la totalità della spesa per il personale consiliare è prevista negli stanziamenti di bilancio della Regione Toscana – Giunta regionale, eccetto la spesa per il servizio mensa, buoni pasto e Inail su tirocini formativi presso il Consiglio.
</t>
  </si>
  <si>
    <t xml:space="preserve">Stanziamenti di competenza (pdc U.1.03.02.010 "Consulenze" + pdc U.1.03.02.12 "lavoro flessibile/LSU/Lavoro interinale") /
Stanziamenti di competenza (Macroaggregato 1.1 "Redditi di lavoro dipendente" + pdc U.1.02.01.01 "IRAP" + FPV in uscita concernente il Macroaggregato 1.1 – FPV  in entrata concernente il Macroaggregato 1.1).
Nota: la spesa di cui al voce pdc U.1.03.02.010 è relativa alle consulenze per la realizzazione di dibattiti pubblici e altri processi partecipativi. La spesa di cui al voce pdc U.1.03.02.012 è relativa ai rimborsi spese per tirocini formativi extracurriculari
</t>
  </si>
  <si>
    <r>
      <t xml:space="preserve">Stanziamenti di competenza (Macroaggregato 1.1 + IRAP [pdc 1.02.01.01] – FPV entrata concernente il Macroaggregato 1.1 + FPV spesa concernente il Macroaggregato 1.1 ) / popolazione residente  (Popolazione al 1° gennaio dell'esercizio di riferimento o, se non disponibile, al 1° gennaio dell'ultimo anno disponibile) - </t>
    </r>
    <r>
      <rPr>
        <i/>
        <sz val="10"/>
        <rFont val="Arial"/>
        <family val="2"/>
      </rPr>
      <t>popolazione residente in Toscana al 1 gennaio 2019 n. 3.729.641 - dati Istat -Regione Toscana.
Nota: Il basso valore percentuale dell'indicatore è imputabile al fatto che la totalità della spesa per il personale consiliare è prevista negli stanziamenti di bilancio della Regione Toscana – Giunta regionale, eccetto la spesa per il servizio mensa, buoni pasto e Inail su tirocini formativi presso il Consiglio.</t>
    </r>
  </si>
  <si>
    <t>Stanziamenti di competenza  (Titolo 6"Accensione di prestiti" - Categoria 6.02.02 "Anticipazioni" - Categoria 6.03.03 "Accensione prestiti a seguito di escussione di garanzie" - Accensioni di prestiti da rinegoziazioni) / Stanziamenti di competenza (Macroaggregato 2.2 "Investimenti fissi lordi e acquisto di terreni" + Macroaggregato 2.3 "Contributi agli investimenti") (10)</t>
  </si>
  <si>
    <t>Stanziamento di cassa [Trasferimenti correnti a Amministrazioni Pubbliche (U.1.04.01.00.000) + Trasferimenti di tributi (U.1.05.00.00.000) + Fondi perequativi (U.1.06.00.00.000) + Contributi agli investimenti a Amministrazioni pubbliche (U.2.03.01.00.000) + 
Altri trasferimenti in conto capitale (U.2.04.01.00.000 + U.2.04.11.00.000 + U.2.04.16.00.000 + U.2.04.21.00.000)] 
/ stanziamenti di competenza e residui, al netto dei relativi FPV, dei  [Trasferimenti correnti a Amministrazioni Pubbliche (U.1.04.01.00.000) + Trasferimenti di tributi (U.1.05.00.00.000) + Fondi perequativi (U.1.06.00.00.000) + Contributi agli investimenti a Amministrazioni pubbliche (U.2.03.01.00.000) + 
Altri trasferimenti in conto capitale (U.2.04.01.00.000 + U.2.04.11.00.000 + U.2.04.16.00.000 + U.2.04.21.00.000)]</t>
  </si>
  <si>
    <r>
      <t xml:space="preserve">(Totale competenza Titolo 4 della spesa) / Debito da finanziamento al 31/12 dell'esercizio precedente (2) </t>
    </r>
    <r>
      <rPr>
        <i/>
        <sz val="10"/>
        <rFont val="Arial"/>
        <family val="2"/>
      </rPr>
      <t xml:space="preserve">(Nota: Il denominatore cioè il debito da finanziamento  (lettera D1 Stato passivo patrimoniale) è pari a zero - dati ricavati dall'ultimo stato patrimoniale di cui </t>
    </r>
    <r>
      <rPr>
        <sz val="9"/>
        <rFont val="Arial"/>
        <family val="2"/>
      </rPr>
      <t>al rendiconto 2018</t>
    </r>
    <r>
      <rPr>
        <b/>
        <i/>
        <sz val="11"/>
        <rFont val="Arial"/>
        <family val="2"/>
      </rPr>
      <t xml:space="preserve"> </t>
    </r>
    <r>
      <rPr>
        <i/>
        <sz val="10"/>
        <rFont val="Arial"/>
        <family val="2"/>
      </rPr>
      <t>approvato con deliberazione Consiglio)</t>
    </r>
  </si>
  <si>
    <r>
      <t>Restituzione anticipazion</t>
    </r>
    <r>
      <rPr>
        <u/>
        <sz val="10"/>
        <rFont val="Calibri"/>
        <family val="2"/>
      </rPr>
      <t>i</t>
    </r>
    <r>
      <rPr>
        <sz val="10"/>
        <rFont val="Calibri"/>
        <family val="2"/>
      </rPr>
      <t xml:space="preserve"> di tesoreria</t>
    </r>
  </si>
  <si>
    <t xml:space="preserve">Bilancio di previsione esercizi 2020, 2021 e 2022, approvato il 18 dicembre 2019 delibera Consiglio n. 82  </t>
  </si>
  <si>
    <r>
      <t xml:space="preserve">Stanziamenti di competenza Macroaggregato 2.3 "Contributi agli investimenti" al netto del relativo FPV / popolazione residente (al 1° gennaio dell'esercizio di riferimento o, se non disponibile, al 1° gennaio dell'ultimo anno disponibile).
</t>
    </r>
    <r>
      <rPr>
        <i/>
        <sz val="10"/>
        <rFont val="Arial"/>
        <family val="2"/>
      </rPr>
      <t>Nota:  La popolazione residente in Toscana  è quella risultante 01.01.2019, pari a 3.729.641 unità (Fonte: elaborazione Settore Sistema Informativo di supporto alle decisioni. Ufficio regionale di Statistica su dati Demo Istat).</t>
    </r>
  </si>
  <si>
    <r>
      <t xml:space="preserve">Debito di finanziamento al 31/12 (2) / popolazione residente 
(al 1° gennaio dell'esercizio di riferimento o, se non disponibile, al 1° gennaio dell'ultimo anno disponibile) - </t>
    </r>
    <r>
      <rPr>
        <i/>
        <sz val="10"/>
        <rFont val="Arial"/>
        <family val="2"/>
      </rPr>
      <t>(dati stato ultimo patrimoniale rendiconto 2018</t>
    </r>
    <r>
      <rPr>
        <b/>
        <i/>
        <sz val="10"/>
        <rFont val="Arial"/>
        <family val="2"/>
      </rPr>
      <t xml:space="preserve"> </t>
    </r>
    <r>
      <rPr>
        <i/>
        <sz val="10"/>
        <rFont val="Arial"/>
        <family val="2"/>
      </rPr>
      <t xml:space="preserve"> - vedi nota codice 8.1 sopra)</t>
    </r>
  </si>
  <si>
    <t xml:space="preserve">(*) La media dei tre esercizi precedenti è riferita agli ultimi tre consuntivi disponibili.  In caso di esercizio provvisorio è possibile fare riferimento ai dati di preconsuntivo dell'esercizio precedente. </t>
  </si>
  <si>
    <t xml:space="preserve">(*) La media dei tre esercizi precedenti è riferita agli ultimi tre consuntivi disponibili. In caso di esercizio provvisorio è possibile fare riferimento ai dati di preconsuntivo dell'esercizio precedente. </t>
  </si>
  <si>
    <t xml:space="preserve">(4) La media dei tre esercizi precedenti è riferita agli ultimi tre consuntivi approvati o in caso di mancata approvazione degli ultimi consuntivi, ai dati di preconsuntivo. In caso di esercizio provvisorio è possibile fare riferimento ai dati di preconsuntivo dell'esercizio precedente. 
</t>
  </si>
</sst>
</file>

<file path=xl/styles.xml><?xml version="1.0" encoding="utf-8"?>
<styleSheet xmlns="http://schemas.openxmlformats.org/spreadsheetml/2006/main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2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b/>
      <i/>
      <sz val="11"/>
      <name val="Calibri"/>
      <family val="2"/>
    </font>
    <font>
      <sz val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i/>
      <sz val="11"/>
      <name val="Arial"/>
      <family val="2"/>
    </font>
    <font>
      <b/>
      <sz val="13"/>
      <name val="Arial"/>
      <family val="2"/>
    </font>
    <font>
      <sz val="9"/>
      <name val="Arial"/>
      <family val="2"/>
    </font>
    <font>
      <b/>
      <sz val="11"/>
      <name val="Calibri"/>
      <family val="2"/>
      <scheme val="minor"/>
    </font>
    <font>
      <b/>
      <sz val="12"/>
      <name val="Calibri"/>
      <family val="2"/>
    </font>
    <font>
      <i/>
      <sz val="11"/>
      <name val="Calibri"/>
      <family val="2"/>
    </font>
    <font>
      <i/>
      <sz val="10"/>
      <name val="Calibri"/>
      <family val="2"/>
    </font>
    <font>
      <u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68">
    <xf numFmtId="0" fontId="0" fillId="0" borderId="0" xfId="0"/>
    <xf numFmtId="0" fontId="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10" fontId="6" fillId="2" borderId="0" xfId="0" applyNumberFormat="1" applyFont="1" applyFill="1" applyBorder="1" applyAlignment="1">
      <alignment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center" vertical="top"/>
    </xf>
    <xf numFmtId="0" fontId="3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 vertical="top"/>
    </xf>
    <xf numFmtId="0" fontId="1" fillId="2" borderId="22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right" vertical="top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top" wrapText="1"/>
    </xf>
    <xf numFmtId="10" fontId="1" fillId="2" borderId="1" xfId="2" applyNumberFormat="1" applyFont="1" applyFill="1" applyBorder="1" applyAlignment="1">
      <alignment horizontal="center" vertical="top" wrapText="1"/>
    </xf>
    <xf numFmtId="0" fontId="1" fillId="2" borderId="0" xfId="0" quotePrefix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/>
    </xf>
    <xf numFmtId="10" fontId="1" fillId="2" borderId="0" xfId="0" applyNumberFormat="1" applyFont="1" applyFill="1"/>
    <xf numFmtId="10" fontId="1" fillId="2" borderId="4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2" borderId="0" xfId="0" applyFont="1" applyFill="1"/>
    <xf numFmtId="0" fontId="1" fillId="2" borderId="0" xfId="0" applyFont="1" applyFill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10" fontId="14" fillId="2" borderId="1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10" fontId="1" fillId="2" borderId="4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10" fontId="15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 wrapText="1"/>
    </xf>
    <xf numFmtId="1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10" fontId="5" fillId="2" borderId="0" xfId="0" applyNumberFormat="1" applyFont="1" applyFill="1" applyBorder="1" applyAlignment="1">
      <alignment vertical="center" wrapText="1"/>
    </xf>
    <xf numFmtId="0" fontId="18" fillId="2" borderId="0" xfId="0" applyFont="1" applyFill="1"/>
    <xf numFmtId="0" fontId="17" fillId="2" borderId="0" xfId="0" applyFont="1" applyFill="1" applyAlignment="1">
      <alignment horizontal="center" vertical="top"/>
    </xf>
    <xf numFmtId="0" fontId="1" fillId="2" borderId="2" xfId="0" applyFont="1" applyFill="1" applyBorder="1" applyAlignment="1">
      <alignment vertical="top" wrapText="1"/>
    </xf>
    <xf numFmtId="10" fontId="1" fillId="2" borderId="1" xfId="2" applyNumberFormat="1" applyFont="1" applyFill="1" applyBorder="1" applyAlignment="1">
      <alignment horizontal="center" vertical="top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20" fillId="2" borderId="1" xfId="0" applyFont="1" applyFill="1" applyBorder="1" applyAlignment="1">
      <alignment horizontal="right" vertical="top"/>
    </xf>
    <xf numFmtId="0" fontId="1" fillId="2" borderId="0" xfId="0" applyFont="1" applyFill="1" applyBorder="1"/>
    <xf numFmtId="10" fontId="1" fillId="2" borderId="22" xfId="0" applyNumberFormat="1" applyFont="1" applyFill="1" applyBorder="1" applyAlignment="1">
      <alignment horizontal="center" vertical="top"/>
    </xf>
    <xf numFmtId="0" fontId="1" fillId="2" borderId="22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right" vertical="top"/>
    </xf>
    <xf numFmtId="44" fontId="1" fillId="2" borderId="22" xfId="0" applyNumberFormat="1" applyFont="1" applyFill="1" applyBorder="1" applyAlignment="1">
      <alignment horizontal="center" vertical="top"/>
    </xf>
    <xf numFmtId="10" fontId="1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vertical="top" wrapText="1"/>
    </xf>
    <xf numFmtId="10" fontId="1" fillId="2" borderId="1" xfId="0" applyNumberFormat="1" applyFont="1" applyFill="1" applyBorder="1" applyAlignment="1">
      <alignment horizontal="center" vertical="top" wrapText="1"/>
    </xf>
    <xf numFmtId="44" fontId="1" fillId="2" borderId="1" xfId="0" applyNumberFormat="1" applyFont="1" applyFill="1" applyBorder="1" applyAlignment="1">
      <alignment horizontal="center" vertical="top" wrapText="1"/>
    </xf>
    <xf numFmtId="0" fontId="20" fillId="2" borderId="5" xfId="0" applyFont="1" applyFill="1" applyBorder="1" applyAlignment="1">
      <alignment horizontal="right" vertical="top"/>
    </xf>
    <xf numFmtId="0" fontId="20" fillId="2" borderId="6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9" fillId="2" borderId="1" xfId="0" quotePrefix="1" applyFont="1" applyFill="1" applyBorder="1" applyAlignment="1">
      <alignment horizontal="center" vertical="center"/>
    </xf>
    <xf numFmtId="0" fontId="6" fillId="2" borderId="1" xfId="0" quotePrefix="1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0" fillId="2" borderId="0" xfId="0" applyFont="1" applyFill="1"/>
    <xf numFmtId="0" fontId="22" fillId="2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0" fontId="15" fillId="2" borderId="1" xfId="1" applyNumberFormat="1" applyFont="1" applyFill="1" applyBorder="1" applyAlignment="1">
      <alignment horizontal="center" vertical="center" wrapText="1"/>
    </xf>
    <xf numFmtId="10" fontId="24" fillId="2" borderId="1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10" fontId="7" fillId="2" borderId="2" xfId="0" applyNumberFormat="1" applyFont="1" applyFill="1" applyBorder="1" applyAlignment="1">
      <alignment horizontal="center" vertical="center" wrapText="1"/>
    </xf>
    <xf numFmtId="10" fontId="7" fillId="2" borderId="2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0" fontId="24" fillId="2" borderId="4" xfId="0" quotePrefix="1" applyNumberFormat="1" applyFont="1" applyFill="1" applyBorder="1" applyAlignment="1">
      <alignment horizontal="center" vertical="center" wrapText="1"/>
    </xf>
    <xf numFmtId="10" fontId="24" fillId="2" borderId="4" xfId="0" applyNumberFormat="1" applyFont="1" applyFill="1" applyBorder="1" applyAlignment="1">
      <alignment horizontal="center" vertical="center" wrapText="1"/>
    </xf>
    <xf numFmtId="10" fontId="7" fillId="2" borderId="3" xfId="0" applyNumberFormat="1" applyFont="1" applyFill="1" applyBorder="1" applyAlignment="1">
      <alignment horizontal="center" vertical="center" wrapText="1"/>
    </xf>
    <xf numFmtId="10" fontId="25" fillId="2" borderId="3" xfId="0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10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10" fontId="24" fillId="2" borderId="8" xfId="0" applyNumberFormat="1" applyFont="1" applyFill="1" applyBorder="1" applyAlignment="1">
      <alignment horizontal="center" vertical="center" wrapText="1"/>
    </xf>
    <xf numFmtId="10" fontId="7" fillId="2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0" fontId="25" fillId="2" borderId="4" xfId="0" applyNumberFormat="1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10" fontId="25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1" xfId="0" quotePrefix="1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1" fillId="2" borderId="0" xfId="0" quotePrefix="1" applyFont="1" applyFill="1" applyAlignment="1">
      <alignment horizontal="left" vertical="top" wrapText="1"/>
    </xf>
    <xf numFmtId="0" fontId="1" fillId="2" borderId="0" xfId="0" quotePrefix="1" applyFont="1" applyFill="1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2" borderId="0" xfId="0" quotePrefix="1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1" fillId="2" borderId="17" xfId="0" quotePrefix="1" applyFont="1" applyFill="1" applyBorder="1" applyAlignment="1">
      <alignment horizontal="left" vertical="top"/>
    </xf>
    <xf numFmtId="0" fontId="20" fillId="2" borderId="6" xfId="0" applyFont="1" applyFill="1" applyBorder="1" applyAlignment="1">
      <alignment horizontal="left" vertical="top" wrapText="1"/>
    </xf>
    <xf numFmtId="0" fontId="20" fillId="2" borderId="7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6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14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0" fontId="2" fillId="2" borderId="5" xfId="0" applyNumberFormat="1" applyFont="1" applyFill="1" applyBorder="1" applyAlignment="1">
      <alignment horizontal="center" vertical="center"/>
    </xf>
    <xf numFmtId="10" fontId="2" fillId="2" borderId="6" xfId="0" applyNumberFormat="1" applyFont="1" applyFill="1" applyBorder="1" applyAlignment="1">
      <alignment horizontal="center" vertical="center"/>
    </xf>
    <xf numFmtId="10" fontId="2" fillId="2" borderId="7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4" fillId="2" borderId="11" xfId="0" quotePrefix="1" applyFont="1" applyFill="1" applyBorder="1" applyAlignment="1">
      <alignment horizontal="center" vertical="center" wrapText="1"/>
    </xf>
    <xf numFmtId="0" fontId="24" fillId="2" borderId="8" xfId="0" quotePrefix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4" fillId="2" borderId="11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1" fillId="2" borderId="13" xfId="0" quotePrefix="1" applyFont="1" applyFill="1" applyBorder="1" applyAlignment="1">
      <alignment horizontal="left" vertical="top" wrapText="1"/>
    </xf>
    <xf numFmtId="0" fontId="25" fillId="2" borderId="2" xfId="0" applyFont="1" applyFill="1" applyBorder="1" applyAlignment="1">
      <alignment horizontal="center" vertical="center" wrapText="1"/>
    </xf>
  </cellXfs>
  <cellStyles count="4">
    <cellStyle name="Migliaia" xfId="1" builtinId="3"/>
    <cellStyle name="Normale" xfId="0" builtinId="0"/>
    <cellStyle name="Normale 2" xfId="3"/>
    <cellStyle name="Percentual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N66"/>
  <sheetViews>
    <sheetView zoomScale="80" zoomScaleNormal="80" workbookViewId="0">
      <pane ySplit="7" topLeftCell="A8" activePane="bottomLeft" state="frozen"/>
      <selection activeCell="C5" sqref="A5:C8"/>
      <selection pane="bottomLeft" activeCell="A57" sqref="A57:L57"/>
    </sheetView>
  </sheetViews>
  <sheetFormatPr defaultColWidth="9.140625" defaultRowHeight="12.75"/>
  <cols>
    <col min="1" max="1" width="5.140625" style="47" bestFit="1" customWidth="1"/>
    <col min="2" max="2" width="45.140625" style="48" customWidth="1"/>
    <col min="3" max="3" width="57.42578125" style="49" customWidth="1"/>
    <col min="4" max="4" width="19" style="5" customWidth="1"/>
    <col min="5" max="5" width="12.5703125" style="5" customWidth="1"/>
    <col min="6" max="6" width="10" style="5" customWidth="1"/>
    <col min="7" max="7" width="18.28515625" style="5" customWidth="1"/>
    <col min="8" max="8" width="8.85546875" style="5" customWidth="1"/>
    <col min="9" max="9" width="8.28515625" style="5" customWidth="1"/>
    <col min="10" max="10" width="9.140625" style="5" customWidth="1"/>
    <col min="11" max="11" width="11.42578125" style="5" customWidth="1"/>
    <col min="12" max="12" width="9.140625" style="5" customWidth="1"/>
    <col min="13" max="13" width="16.42578125" style="4" customWidth="1"/>
    <col min="14" max="16384" width="9.140625" style="4"/>
  </cols>
  <sheetData>
    <row r="1" spans="1:14" ht="15">
      <c r="J1" s="5" t="s">
        <v>327</v>
      </c>
      <c r="K1" s="44" t="s">
        <v>399</v>
      </c>
      <c r="L1" s="44" t="s">
        <v>327</v>
      </c>
    </row>
    <row r="2" spans="1:14" ht="18">
      <c r="A2" s="119" t="s">
        <v>225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4" ht="15.75">
      <c r="A3" s="120" t="s">
        <v>410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spans="1:14" ht="15.75">
      <c r="B4" s="6"/>
      <c r="C4" s="121" t="s">
        <v>335</v>
      </c>
      <c r="D4" s="121"/>
      <c r="E4" s="121"/>
      <c r="F4" s="121"/>
    </row>
    <row r="5" spans="1:14" ht="45.75" customHeight="1">
      <c r="A5" s="122" t="s">
        <v>336</v>
      </c>
      <c r="B5" s="123"/>
      <c r="C5" s="128" t="s">
        <v>337</v>
      </c>
      <c r="D5" s="122" t="s">
        <v>338</v>
      </c>
      <c r="E5" s="131"/>
      <c r="F5" s="131"/>
      <c r="G5" s="131"/>
      <c r="H5" s="131"/>
      <c r="I5" s="131"/>
      <c r="J5" s="131"/>
      <c r="K5" s="131"/>
      <c r="L5" s="123"/>
    </row>
    <row r="6" spans="1:14" ht="27.75" customHeight="1">
      <c r="A6" s="124"/>
      <c r="B6" s="125"/>
      <c r="C6" s="129"/>
      <c r="D6" s="132" t="s">
        <v>339</v>
      </c>
      <c r="E6" s="133"/>
      <c r="F6" s="134"/>
      <c r="G6" s="132" t="s">
        <v>340</v>
      </c>
      <c r="H6" s="133"/>
      <c r="I6" s="134"/>
      <c r="J6" s="132" t="s">
        <v>341</v>
      </c>
      <c r="K6" s="133"/>
      <c r="L6" s="134"/>
    </row>
    <row r="7" spans="1:14" ht="24" customHeight="1">
      <c r="A7" s="126"/>
      <c r="B7" s="127"/>
      <c r="C7" s="130"/>
      <c r="D7" s="7">
        <v>2020</v>
      </c>
      <c r="E7" s="7">
        <v>2021</v>
      </c>
      <c r="F7" s="7">
        <v>2022</v>
      </c>
      <c r="G7" s="7">
        <v>2020</v>
      </c>
      <c r="H7" s="7">
        <v>2021</v>
      </c>
      <c r="I7" s="7">
        <v>2022</v>
      </c>
      <c r="J7" s="7">
        <v>2020</v>
      </c>
      <c r="K7" s="7">
        <v>2021</v>
      </c>
      <c r="L7" s="7">
        <v>2022</v>
      </c>
    </row>
    <row r="8" spans="1:14" s="51" customFormat="1" ht="17.25" customHeight="1">
      <c r="A8" s="50">
        <v>1</v>
      </c>
      <c r="B8" s="111" t="s">
        <v>210</v>
      </c>
      <c r="C8" s="111"/>
      <c r="D8" s="111"/>
      <c r="E8" s="111"/>
      <c r="F8" s="111"/>
      <c r="G8" s="111"/>
      <c r="H8" s="111"/>
      <c r="I8" s="111"/>
      <c r="J8" s="111"/>
      <c r="K8" s="111"/>
      <c r="L8" s="112"/>
    </row>
    <row r="9" spans="1:14" ht="178.5">
      <c r="A9" s="8" t="s">
        <v>204</v>
      </c>
      <c r="B9" s="9" t="s">
        <v>342</v>
      </c>
      <c r="C9" s="45" t="s">
        <v>400</v>
      </c>
      <c r="D9" s="52">
        <f>(257330+500+987106.9)/24639339.12</f>
        <v>5.0526391715980404E-2</v>
      </c>
      <c r="E9" s="52">
        <f>(262030+500+949167)/22812682.08</f>
        <v>5.3115060988918147E-2</v>
      </c>
      <c r="F9" s="52">
        <f>(263630+500+954167)/22653774</f>
        <v>5.3778986229844089E-2</v>
      </c>
      <c r="G9" s="53" t="s">
        <v>327</v>
      </c>
      <c r="H9" s="53" t="s">
        <v>327</v>
      </c>
      <c r="I9" s="53"/>
      <c r="J9" s="52">
        <f>(257330+500+987106.9)/24639339.12</f>
        <v>5.0526391715980404E-2</v>
      </c>
      <c r="K9" s="52">
        <f>(262030+500+949167)/22812682.08</f>
        <v>5.3115060988918147E-2</v>
      </c>
      <c r="L9" s="52">
        <f>(263630+500+954167)/22653774</f>
        <v>5.3778986229844089E-2</v>
      </c>
    </row>
    <row r="10" spans="1:14" s="51" customFormat="1" ht="17.25" customHeight="1">
      <c r="A10" s="50">
        <v>2</v>
      </c>
      <c r="B10" s="111" t="s">
        <v>203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2"/>
    </row>
    <row r="11" spans="1:14" ht="60.75" customHeight="1">
      <c r="A11" s="10" t="s">
        <v>206</v>
      </c>
      <c r="B11" s="12" t="s">
        <v>292</v>
      </c>
      <c r="C11" s="12" t="s">
        <v>343</v>
      </c>
      <c r="D11" s="52">
        <v>0.89490000000000003</v>
      </c>
      <c r="E11" s="52">
        <v>0.96660000000000001</v>
      </c>
      <c r="F11" s="52">
        <v>0.97330000000000005</v>
      </c>
      <c r="G11" s="46" t="s">
        <v>327</v>
      </c>
      <c r="H11" s="11"/>
      <c r="I11" s="11"/>
      <c r="J11" s="11"/>
      <c r="K11" s="11"/>
      <c r="L11" s="11"/>
    </row>
    <row r="12" spans="1:14" ht="60.75" customHeight="1">
      <c r="A12" s="10" t="s">
        <v>259</v>
      </c>
      <c r="B12" s="12" t="s">
        <v>258</v>
      </c>
      <c r="C12" s="12" t="s">
        <v>344</v>
      </c>
      <c r="D12" s="52">
        <v>0.88949999999999996</v>
      </c>
      <c r="E12" s="11" t="s">
        <v>327</v>
      </c>
      <c r="F12" s="11"/>
      <c r="G12" s="11" t="s">
        <v>327</v>
      </c>
      <c r="H12" s="11"/>
      <c r="I12" s="11"/>
      <c r="J12" s="11"/>
      <c r="K12" s="11"/>
      <c r="L12" s="11"/>
    </row>
    <row r="13" spans="1:14" ht="71.25" customHeight="1">
      <c r="A13" s="10" t="s">
        <v>283</v>
      </c>
      <c r="B13" s="12" t="s">
        <v>290</v>
      </c>
      <c r="C13" s="12" t="s">
        <v>401</v>
      </c>
      <c r="D13" s="52">
        <v>1.15E-2</v>
      </c>
      <c r="E13" s="52">
        <v>1.24E-2</v>
      </c>
      <c r="F13" s="52">
        <v>1.2500000000000001E-2</v>
      </c>
      <c r="G13" s="11"/>
      <c r="H13" s="11"/>
      <c r="I13" s="11"/>
      <c r="J13" s="11"/>
      <c r="K13" s="11"/>
      <c r="L13" s="11"/>
      <c r="N13" s="4" t="s">
        <v>327</v>
      </c>
    </row>
    <row r="14" spans="1:14" ht="60.75" customHeight="1">
      <c r="A14" s="10" t="s">
        <v>284</v>
      </c>
      <c r="B14" s="12" t="s">
        <v>285</v>
      </c>
      <c r="C14" s="12" t="s">
        <v>402</v>
      </c>
      <c r="D14" s="52">
        <v>1.04E-2</v>
      </c>
      <c r="E14" s="11"/>
      <c r="F14" s="11"/>
      <c r="G14" s="11"/>
      <c r="H14" s="11"/>
      <c r="I14" s="11"/>
      <c r="J14" s="11"/>
      <c r="K14" s="11"/>
      <c r="L14" s="11"/>
    </row>
    <row r="15" spans="1:14" ht="15.75">
      <c r="A15" s="54">
        <v>3</v>
      </c>
      <c r="B15" s="113" t="s">
        <v>345</v>
      </c>
      <c r="C15" s="114"/>
      <c r="D15" s="114"/>
      <c r="E15" s="114"/>
      <c r="F15" s="114"/>
      <c r="G15" s="114"/>
      <c r="H15" s="114"/>
      <c r="I15" s="114"/>
      <c r="J15" s="114"/>
      <c r="K15" s="114"/>
      <c r="L15" s="115"/>
    </row>
    <row r="16" spans="1:14" ht="169.15" customHeight="1">
      <c r="A16" s="10" t="s">
        <v>207</v>
      </c>
      <c r="B16" s="12" t="s">
        <v>346</v>
      </c>
      <c r="C16" s="14" t="s">
        <v>403</v>
      </c>
      <c r="D16" s="52">
        <f>(257330+987106.9)/24640145.5</f>
        <v>5.050444608778791E-2</v>
      </c>
      <c r="E16" s="52">
        <f>(262030+949167)/(22813274)</f>
        <v>5.3091765785130182E-2</v>
      </c>
      <c r="F16" s="52">
        <f>(263630+954167)/26653774</f>
        <v>4.5689477219998942E-2</v>
      </c>
      <c r="G16" s="13"/>
      <c r="H16" s="13"/>
      <c r="I16" s="13"/>
      <c r="J16" s="52">
        <f>(257330+987106.9)/24640145.5</f>
        <v>5.050444608778791E-2</v>
      </c>
      <c r="K16" s="52">
        <f>(262030+949167)/(22813274)</f>
        <v>5.3091765785130182E-2</v>
      </c>
      <c r="L16" s="52">
        <f>(263630+954167)/26653774</f>
        <v>4.5689477219998942E-2</v>
      </c>
    </row>
    <row r="17" spans="1:13" ht="121.5" customHeight="1">
      <c r="A17" s="10" t="s">
        <v>208</v>
      </c>
      <c r="B17" s="12" t="s">
        <v>347</v>
      </c>
      <c r="C17" s="14" t="s">
        <v>348</v>
      </c>
      <c r="D17" s="116" t="s">
        <v>349</v>
      </c>
      <c r="E17" s="117"/>
      <c r="F17" s="118"/>
      <c r="G17" s="13"/>
      <c r="H17" s="13"/>
      <c r="I17" s="13"/>
      <c r="J17" s="13"/>
      <c r="K17" s="13"/>
      <c r="L17" s="13"/>
    </row>
    <row r="18" spans="1:13" ht="140.25">
      <c r="A18" s="10" t="s">
        <v>221</v>
      </c>
      <c r="B18" s="12" t="s">
        <v>350</v>
      </c>
      <c r="C18" s="14" t="s">
        <v>404</v>
      </c>
      <c r="D18" s="52">
        <f>(3000+46000)/(257330+987106.9)</f>
        <v>3.93752387123847E-2</v>
      </c>
      <c r="E18" s="52">
        <f>(3000+46000)/(262030+949167)</f>
        <v>4.045584657161469E-2</v>
      </c>
      <c r="F18" s="52">
        <f>(3000+46000)/(263630+954167)</f>
        <v>4.0236591155997266E-2</v>
      </c>
      <c r="G18" s="13"/>
      <c r="H18" s="13"/>
      <c r="I18" s="13"/>
      <c r="J18" s="52">
        <f>(3000+46000)/(257330+987106.9)</f>
        <v>3.93752387123847E-2</v>
      </c>
      <c r="K18" s="52">
        <f>(3000+46000)/(262030+949167)</f>
        <v>4.045584657161469E-2</v>
      </c>
      <c r="L18" s="52">
        <f>(3000+46000)/(263630+954167)</f>
        <v>4.0236591155997266E-2</v>
      </c>
    </row>
    <row r="19" spans="1:13" ht="165" customHeight="1">
      <c r="A19" s="10" t="s">
        <v>222</v>
      </c>
      <c r="B19" s="12" t="s">
        <v>351</v>
      </c>
      <c r="C19" s="14" t="s">
        <v>405</v>
      </c>
      <c r="D19" s="55">
        <f>(257330+987106.9)/3729641</f>
        <v>0.33366130949332656</v>
      </c>
      <c r="E19" s="55">
        <f>(262030+949167)/3729641</f>
        <v>0.32474895036814533</v>
      </c>
      <c r="F19" s="55">
        <f>(263630+954167)/3729641</f>
        <v>0.32651855768423826</v>
      </c>
      <c r="G19" s="13"/>
      <c r="H19" s="13"/>
      <c r="I19" s="13"/>
      <c r="J19" s="55">
        <f>(257330+987106.9)/3729641</f>
        <v>0.33366130949332656</v>
      </c>
      <c r="K19" s="55">
        <f>(262030+949167)/3729641</f>
        <v>0.32474895036814533</v>
      </c>
      <c r="L19" s="55">
        <f>(263630+954167)/3729641</f>
        <v>0.32651855768423826</v>
      </c>
    </row>
    <row r="20" spans="1:13" ht="15.75">
      <c r="A20" s="54">
        <v>4</v>
      </c>
      <c r="B20" s="113" t="s">
        <v>269</v>
      </c>
      <c r="C20" s="114"/>
      <c r="D20" s="114"/>
      <c r="E20" s="114"/>
      <c r="F20" s="114"/>
      <c r="G20" s="114"/>
      <c r="H20" s="114"/>
      <c r="I20" s="114"/>
      <c r="J20" s="114"/>
      <c r="K20" s="114"/>
      <c r="L20" s="115"/>
    </row>
    <row r="21" spans="1:13" ht="74.25" customHeight="1">
      <c r="A21" s="10" t="s">
        <v>209</v>
      </c>
      <c r="B21" s="12" t="s">
        <v>270</v>
      </c>
      <c r="C21" s="12" t="s">
        <v>352</v>
      </c>
      <c r="D21" s="11"/>
      <c r="E21" s="11"/>
      <c r="F21" s="11"/>
      <c r="G21" s="11"/>
      <c r="H21" s="11"/>
      <c r="I21" s="11"/>
      <c r="J21" s="11"/>
      <c r="K21" s="11"/>
      <c r="L21" s="11"/>
    </row>
    <row r="22" spans="1:13" ht="15.75">
      <c r="A22" s="54">
        <v>5</v>
      </c>
      <c r="B22" s="113" t="s">
        <v>205</v>
      </c>
      <c r="C22" s="114"/>
      <c r="D22" s="114"/>
      <c r="E22" s="114"/>
      <c r="F22" s="114"/>
      <c r="G22" s="114"/>
      <c r="H22" s="114"/>
      <c r="I22" s="114"/>
      <c r="J22" s="114"/>
      <c r="K22" s="114"/>
      <c r="L22" s="115"/>
    </row>
    <row r="23" spans="1:13" ht="40.5" customHeight="1">
      <c r="A23" s="10" t="s">
        <v>214</v>
      </c>
      <c r="B23" s="12" t="s">
        <v>211</v>
      </c>
      <c r="C23" s="14" t="s">
        <v>353</v>
      </c>
      <c r="D23" s="52">
        <f>500/22111722.4</f>
        <v>2.2612440177885013E-5</v>
      </c>
      <c r="E23" s="52">
        <f>500/23733406.43</f>
        <v>2.1067350844671817E-5</v>
      </c>
      <c r="F23" s="52">
        <f>500/22102104.08</f>
        <v>2.2622280584247437E-5</v>
      </c>
      <c r="G23" s="11"/>
      <c r="H23" s="11"/>
      <c r="I23" s="11"/>
      <c r="J23" s="52">
        <f>500/22111722.4</f>
        <v>2.2612440177885013E-5</v>
      </c>
      <c r="K23" s="52">
        <f>500/23733406.43</f>
        <v>2.1067350844671817E-5</v>
      </c>
      <c r="L23" s="52">
        <f>500/22102104.08</f>
        <v>2.2622280584247437E-5</v>
      </c>
      <c r="M23" s="4" t="s">
        <v>327</v>
      </c>
    </row>
    <row r="24" spans="1:13" ht="51">
      <c r="A24" s="10" t="s">
        <v>215</v>
      </c>
      <c r="B24" s="12" t="s">
        <v>212</v>
      </c>
      <c r="C24" s="12" t="s">
        <v>354</v>
      </c>
      <c r="D24" s="11" t="s">
        <v>327</v>
      </c>
      <c r="E24" s="11"/>
      <c r="F24" s="11"/>
      <c r="G24" s="11"/>
      <c r="H24" s="11"/>
      <c r="I24" s="11"/>
      <c r="J24" s="11"/>
      <c r="K24" s="11"/>
      <c r="L24" s="11"/>
    </row>
    <row r="25" spans="1:13" ht="93.6" customHeight="1">
      <c r="A25" s="10" t="s">
        <v>254</v>
      </c>
      <c r="B25" s="12" t="s">
        <v>213</v>
      </c>
      <c r="C25" s="12" t="s">
        <v>355</v>
      </c>
      <c r="D25" s="56">
        <f>500/500</f>
        <v>1</v>
      </c>
      <c r="E25" s="56">
        <f t="shared" ref="E25:F25" si="0">500/500</f>
        <v>1</v>
      </c>
      <c r="F25" s="56">
        <f t="shared" si="0"/>
        <v>1</v>
      </c>
      <c r="G25" s="11"/>
      <c r="H25" s="11"/>
      <c r="I25" s="11"/>
      <c r="J25" s="56">
        <f>500/500</f>
        <v>1</v>
      </c>
      <c r="K25" s="56">
        <f t="shared" ref="K25:L25" si="1">500/500</f>
        <v>1</v>
      </c>
      <c r="L25" s="56">
        <f t="shared" si="1"/>
        <v>1</v>
      </c>
    </row>
    <row r="26" spans="1:13" ht="15.75">
      <c r="A26" s="54">
        <v>6</v>
      </c>
      <c r="B26" s="57" t="s">
        <v>356</v>
      </c>
      <c r="C26" s="12"/>
      <c r="D26" s="11"/>
      <c r="E26" s="11"/>
      <c r="F26" s="11"/>
      <c r="G26" s="11"/>
      <c r="H26" s="11"/>
      <c r="I26" s="11"/>
      <c r="J26" s="11"/>
      <c r="K26" s="11"/>
      <c r="L26" s="11"/>
    </row>
    <row r="27" spans="1:13" ht="45" customHeight="1">
      <c r="A27" s="10" t="s">
        <v>216</v>
      </c>
      <c r="B27" s="12" t="s">
        <v>253</v>
      </c>
      <c r="C27" s="14" t="s">
        <v>357</v>
      </c>
      <c r="D27" s="58">
        <f>(746756+90000)/(25529401.5-591.92)</f>
        <v>3.2776929820321064E-2</v>
      </c>
      <c r="E27" s="58">
        <f>(467156+90000)/(23442930)</f>
        <v>2.3766483114525359E-2</v>
      </c>
      <c r="F27" s="58">
        <f>(411656+90000)/(23207930)</f>
        <v>2.1615714973287146E-2</v>
      </c>
      <c r="G27" s="18"/>
      <c r="H27" s="18"/>
      <c r="I27" s="18"/>
      <c r="J27" s="58">
        <f>(746756+90000)/(25529401.5-591.92)</f>
        <v>3.2776929820321064E-2</v>
      </c>
      <c r="K27" s="58">
        <f>(467156+90000)/(23442930)</f>
        <v>2.3766483114525359E-2</v>
      </c>
      <c r="L27" s="58">
        <f>(411656+90000)/(23207930)</f>
        <v>2.1615714973287146E-2</v>
      </c>
    </row>
    <row r="28" spans="1:13" ht="111.6" customHeight="1">
      <c r="A28" s="10" t="s">
        <v>217</v>
      </c>
      <c r="B28" s="12" t="s">
        <v>358</v>
      </c>
      <c r="C28" s="14" t="s">
        <v>392</v>
      </c>
      <c r="D28" s="55">
        <f>746756/3729641</f>
        <v>0.20022195165700934</v>
      </c>
      <c r="E28" s="55">
        <f>467156/3729641</f>
        <v>0.12525495081161966</v>
      </c>
      <c r="F28" s="55">
        <f>411656/3729641</f>
        <v>0.1103741620172022</v>
      </c>
      <c r="G28" s="13"/>
      <c r="H28" s="13"/>
      <c r="I28" s="13"/>
      <c r="J28" s="55">
        <f>746756/3729641</f>
        <v>0.20022195165700934</v>
      </c>
      <c r="K28" s="55">
        <f>467156/3729641</f>
        <v>0.12525495081161966</v>
      </c>
      <c r="L28" s="55">
        <f>411656/3729641</f>
        <v>0.1103741620172022</v>
      </c>
    </row>
    <row r="29" spans="1:13" ht="103.9" customHeight="1">
      <c r="A29" s="10" t="s">
        <v>218</v>
      </c>
      <c r="B29" s="12" t="s">
        <v>359</v>
      </c>
      <c r="C29" s="14" t="s">
        <v>411</v>
      </c>
      <c r="D29" s="55">
        <f>90000/3729641</f>
        <v>2.4131008855812128E-2</v>
      </c>
      <c r="E29" s="55">
        <f>90000/3729641</f>
        <v>2.4131008855812128E-2</v>
      </c>
      <c r="F29" s="55">
        <f>90000/3729641</f>
        <v>2.4131008855812128E-2</v>
      </c>
      <c r="G29" s="13"/>
      <c r="H29" s="13"/>
      <c r="I29" s="13"/>
      <c r="J29" s="55">
        <f>90000/3729641</f>
        <v>2.4131008855812128E-2</v>
      </c>
      <c r="K29" s="55">
        <f>90000/3729641</f>
        <v>2.4131008855812128E-2</v>
      </c>
      <c r="L29" s="55">
        <f>90000/3729641</f>
        <v>2.4131008855812128E-2</v>
      </c>
    </row>
    <row r="30" spans="1:13" ht="114.75">
      <c r="A30" s="10" t="s">
        <v>271</v>
      </c>
      <c r="B30" s="12" t="s">
        <v>360</v>
      </c>
      <c r="C30" s="14" t="s">
        <v>393</v>
      </c>
      <c r="D30" s="59">
        <f>(746756+90000)/3729641</f>
        <v>0.22435296051282147</v>
      </c>
      <c r="E30" s="59">
        <f>(467156+90000)/3729641</f>
        <v>0.14938595966743179</v>
      </c>
      <c r="F30" s="59">
        <f>(411656+90000)/3729641</f>
        <v>0.13450517087301431</v>
      </c>
      <c r="G30" s="13"/>
      <c r="H30" s="13"/>
      <c r="I30" s="13"/>
      <c r="J30" s="59">
        <f>(746756+90000)/3729641</f>
        <v>0.22435296051282147</v>
      </c>
      <c r="K30" s="59">
        <f>(467156+90000)/3729641</f>
        <v>0.14938595966743179</v>
      </c>
      <c r="L30" s="59">
        <f>(411656+90000)/3729641</f>
        <v>0.13450517087301431</v>
      </c>
    </row>
    <row r="31" spans="1:13" ht="51.75" customHeight="1">
      <c r="A31" s="10" t="s">
        <v>272</v>
      </c>
      <c r="B31" s="12" t="s">
        <v>260</v>
      </c>
      <c r="C31" s="14" t="s">
        <v>361</v>
      </c>
      <c r="D31" s="13"/>
      <c r="E31" s="13"/>
      <c r="F31" s="13"/>
      <c r="G31" s="13"/>
      <c r="H31" s="13"/>
      <c r="I31" s="13"/>
      <c r="J31" s="13"/>
      <c r="K31" s="13"/>
      <c r="L31" s="13"/>
    </row>
    <row r="32" spans="1:13" ht="91.5" customHeight="1">
      <c r="A32" s="10" t="s">
        <v>273</v>
      </c>
      <c r="B32" s="12" t="s">
        <v>261</v>
      </c>
      <c r="C32" s="14" t="s">
        <v>362</v>
      </c>
      <c r="D32" s="13"/>
      <c r="E32" s="13"/>
      <c r="F32" s="13"/>
      <c r="G32" s="13"/>
      <c r="H32" s="13"/>
      <c r="I32" s="13"/>
      <c r="J32" s="13"/>
      <c r="K32" s="13"/>
      <c r="L32" s="13"/>
    </row>
    <row r="33" spans="1:13" ht="87.75" customHeight="1">
      <c r="A33" s="10" t="s">
        <v>274</v>
      </c>
      <c r="B33" s="12" t="s">
        <v>262</v>
      </c>
      <c r="C33" s="14" t="s">
        <v>406</v>
      </c>
      <c r="D33" s="13"/>
      <c r="E33" s="13"/>
      <c r="F33" s="13"/>
      <c r="G33" s="13"/>
      <c r="H33" s="13"/>
      <c r="I33" s="13"/>
      <c r="J33" s="13"/>
      <c r="K33" s="13"/>
      <c r="L33" s="13"/>
    </row>
    <row r="34" spans="1:13" s="51" customFormat="1" ht="17.25" customHeight="1">
      <c r="A34" s="60">
        <v>7</v>
      </c>
      <c r="B34" s="61" t="s">
        <v>0</v>
      </c>
      <c r="C34" s="61"/>
      <c r="D34" s="15"/>
      <c r="E34" s="15"/>
      <c r="F34" s="15"/>
      <c r="G34" s="15"/>
      <c r="H34" s="15"/>
      <c r="I34" s="15"/>
      <c r="J34" s="15"/>
      <c r="K34" s="15"/>
      <c r="L34" s="16"/>
    </row>
    <row r="35" spans="1:13" ht="66.75" customHeight="1">
      <c r="A35" s="10" t="s">
        <v>219</v>
      </c>
      <c r="B35" s="19" t="s">
        <v>227</v>
      </c>
      <c r="C35" s="14" t="s">
        <v>363</v>
      </c>
      <c r="D35" s="58">
        <f>(15876885.14+1176139)/((14397969.14+1478916)+(746756+429383)-0)</f>
        <v>1</v>
      </c>
      <c r="E35" s="13"/>
      <c r="F35" s="13"/>
      <c r="G35" s="13" t="s">
        <v>327</v>
      </c>
      <c r="H35" s="13"/>
      <c r="I35" s="13"/>
      <c r="J35" s="58">
        <f>(15876885.14+1176139)/((14397969.14+1478916)+(746756+429383)-0)</f>
        <v>1</v>
      </c>
      <c r="K35" s="13"/>
      <c r="L35" s="13"/>
      <c r="M35" s="4" t="s">
        <v>327</v>
      </c>
    </row>
    <row r="36" spans="1:13" ht="184.5" customHeight="1">
      <c r="A36" s="10" t="s">
        <v>220</v>
      </c>
      <c r="B36" s="12" t="s">
        <v>291</v>
      </c>
      <c r="C36" s="14" t="s">
        <v>407</v>
      </c>
      <c r="D36" s="58">
        <f>(1265050+90000)/((1112430+152620)+90000)</f>
        <v>1</v>
      </c>
      <c r="E36" s="13" t="s">
        <v>327</v>
      </c>
      <c r="F36" s="13"/>
      <c r="G36" s="13"/>
      <c r="H36" s="13"/>
      <c r="I36" s="13"/>
      <c r="J36" s="58">
        <f>(1265050+90000)/((1112430+152620)+90000)</f>
        <v>1</v>
      </c>
      <c r="K36" s="13"/>
      <c r="L36" s="13"/>
    </row>
    <row r="37" spans="1:13" s="51" customFormat="1" ht="17.25" customHeight="1">
      <c r="A37" s="60">
        <v>8</v>
      </c>
      <c r="B37" s="111" t="s">
        <v>1</v>
      </c>
      <c r="C37" s="111"/>
      <c r="D37" s="111"/>
      <c r="E37" s="111"/>
      <c r="F37" s="111"/>
      <c r="G37" s="111"/>
      <c r="H37" s="111"/>
      <c r="I37" s="111"/>
      <c r="J37" s="111"/>
      <c r="K37" s="111"/>
      <c r="L37" s="112"/>
    </row>
    <row r="38" spans="1:13" ht="78.75" customHeight="1">
      <c r="A38" s="10" t="s">
        <v>255</v>
      </c>
      <c r="B38" s="19" t="s">
        <v>223</v>
      </c>
      <c r="C38" s="14" t="s">
        <v>408</v>
      </c>
      <c r="D38" s="13" t="s">
        <v>327</v>
      </c>
      <c r="E38" s="13"/>
      <c r="F38" s="13"/>
      <c r="G38" s="13"/>
      <c r="H38" s="13"/>
      <c r="I38" s="13"/>
      <c r="J38" s="13"/>
      <c r="K38" s="13"/>
      <c r="L38" s="13"/>
    </row>
    <row r="39" spans="1:13" ht="140.25">
      <c r="A39" s="10" t="s">
        <v>256</v>
      </c>
      <c r="B39" s="19" t="s">
        <v>224</v>
      </c>
      <c r="C39" s="14" t="s">
        <v>364</v>
      </c>
      <c r="D39" s="21">
        <v>0</v>
      </c>
      <c r="E39" s="21">
        <v>0</v>
      </c>
      <c r="F39" s="21">
        <v>0</v>
      </c>
      <c r="G39" s="13"/>
      <c r="H39" s="13"/>
      <c r="I39" s="13"/>
      <c r="J39" s="21">
        <v>0</v>
      </c>
      <c r="K39" s="21">
        <v>0</v>
      </c>
      <c r="L39" s="21">
        <v>0</v>
      </c>
    </row>
    <row r="40" spans="1:13" ht="63.75" customHeight="1">
      <c r="A40" s="10" t="s">
        <v>282</v>
      </c>
      <c r="B40" s="12" t="s">
        <v>365</v>
      </c>
      <c r="C40" s="14" t="s">
        <v>412</v>
      </c>
      <c r="D40" s="18"/>
      <c r="E40" s="18"/>
      <c r="F40" s="18"/>
      <c r="G40" s="18"/>
      <c r="H40" s="18"/>
      <c r="I40" s="18"/>
      <c r="J40" s="18"/>
      <c r="K40" s="18"/>
      <c r="L40" s="18"/>
    </row>
    <row r="41" spans="1:13" ht="16.5">
      <c r="A41" s="60">
        <v>9</v>
      </c>
      <c r="B41" s="111" t="s">
        <v>268</v>
      </c>
      <c r="C41" s="111"/>
      <c r="D41" s="111"/>
      <c r="E41" s="111"/>
      <c r="F41" s="111"/>
      <c r="G41" s="111"/>
      <c r="H41" s="111"/>
      <c r="I41" s="111"/>
      <c r="J41" s="111"/>
      <c r="K41" s="111"/>
      <c r="L41" s="112"/>
    </row>
    <row r="42" spans="1:13" ht="25.5">
      <c r="A42" s="17" t="s">
        <v>275</v>
      </c>
      <c r="B42" s="12" t="s">
        <v>264</v>
      </c>
      <c r="C42" s="14" t="s">
        <v>366</v>
      </c>
      <c r="D42" s="58">
        <f>1750208.96/4847231.37</f>
        <v>0.36107394642480206</v>
      </c>
      <c r="E42" s="18"/>
      <c r="F42" s="18"/>
      <c r="G42" s="18"/>
      <c r="H42" s="18"/>
      <c r="I42" s="18"/>
      <c r="J42" s="18"/>
      <c r="K42" s="18"/>
      <c r="L42" s="18"/>
    </row>
    <row r="43" spans="1:13" ht="25.5">
      <c r="A43" s="17" t="s">
        <v>276</v>
      </c>
      <c r="B43" s="12" t="s">
        <v>265</v>
      </c>
      <c r="C43" s="14" t="s">
        <v>367</v>
      </c>
      <c r="D43" s="58">
        <f>17277/4847231.37</f>
        <v>3.5643027289617496E-3</v>
      </c>
      <c r="E43" s="18"/>
      <c r="F43" s="18"/>
      <c r="G43" s="18"/>
      <c r="H43" s="18"/>
      <c r="I43" s="18"/>
      <c r="J43" s="18"/>
      <c r="K43" s="18"/>
      <c r="L43" s="18"/>
    </row>
    <row r="44" spans="1:13" ht="25.5">
      <c r="A44" s="17" t="s">
        <v>277</v>
      </c>
      <c r="B44" s="12" t="s">
        <v>266</v>
      </c>
      <c r="C44" s="14" t="s">
        <v>368</v>
      </c>
      <c r="D44" s="58">
        <f>3018932.41/4847231.37</f>
        <v>0.62281582609909547</v>
      </c>
      <c r="E44" s="18"/>
      <c r="F44" s="18"/>
      <c r="G44" s="18"/>
      <c r="H44" s="18"/>
      <c r="I44" s="18"/>
      <c r="J44" s="18"/>
      <c r="K44" s="18"/>
      <c r="L44" s="18"/>
    </row>
    <row r="45" spans="1:13" ht="25.5">
      <c r="A45" s="17" t="s">
        <v>278</v>
      </c>
      <c r="B45" s="12" t="s">
        <v>267</v>
      </c>
      <c r="C45" s="14" t="s">
        <v>369</v>
      </c>
      <c r="D45" s="58">
        <f>60813/4847231.37</f>
        <v>1.2545924747140757E-2</v>
      </c>
      <c r="E45" s="18"/>
      <c r="F45" s="18"/>
      <c r="G45" s="18"/>
      <c r="H45" s="18"/>
      <c r="I45" s="18"/>
      <c r="J45" s="18"/>
      <c r="K45" s="18"/>
      <c r="L45" s="18"/>
    </row>
    <row r="46" spans="1:13" s="51" customFormat="1" ht="17.25" customHeight="1">
      <c r="A46" s="60">
        <v>10</v>
      </c>
      <c r="B46" s="111" t="s">
        <v>263</v>
      </c>
      <c r="C46" s="111"/>
      <c r="D46" s="111"/>
      <c r="E46" s="111"/>
      <c r="F46" s="111"/>
      <c r="G46" s="111"/>
      <c r="H46" s="111"/>
      <c r="I46" s="111"/>
      <c r="J46" s="111"/>
      <c r="K46" s="111"/>
      <c r="L46" s="112"/>
    </row>
    <row r="47" spans="1:13" ht="54" customHeight="1">
      <c r="A47" s="10" t="s">
        <v>279</v>
      </c>
      <c r="B47" s="12" t="s">
        <v>286</v>
      </c>
      <c r="C47" s="14" t="s">
        <v>370</v>
      </c>
      <c r="D47" s="18"/>
      <c r="E47" s="18"/>
      <c r="F47" s="18"/>
      <c r="G47" s="18"/>
      <c r="H47" s="18"/>
      <c r="I47" s="18"/>
      <c r="J47" s="18"/>
      <c r="K47" s="18"/>
      <c r="L47" s="18"/>
    </row>
    <row r="48" spans="1:13" ht="57.75" customHeight="1">
      <c r="A48" s="10" t="s">
        <v>280</v>
      </c>
      <c r="B48" s="19" t="s">
        <v>288</v>
      </c>
      <c r="C48" s="14" t="s">
        <v>371</v>
      </c>
      <c r="D48" s="18"/>
      <c r="E48" s="18"/>
      <c r="F48" s="18"/>
      <c r="G48" s="18"/>
      <c r="H48" s="18"/>
      <c r="I48" s="18"/>
      <c r="J48" s="18"/>
      <c r="K48" s="18"/>
      <c r="L48" s="18"/>
    </row>
    <row r="49" spans="1:12" ht="43.5" customHeight="1">
      <c r="A49" s="10" t="s">
        <v>281</v>
      </c>
      <c r="B49" s="12" t="s">
        <v>257</v>
      </c>
      <c r="C49" s="14" t="s">
        <v>372</v>
      </c>
      <c r="D49" s="58" t="s">
        <v>327</v>
      </c>
      <c r="E49" s="13"/>
      <c r="F49" s="13"/>
      <c r="G49" s="13"/>
      <c r="H49" s="13"/>
      <c r="I49" s="13"/>
      <c r="J49" s="13"/>
      <c r="K49" s="13"/>
      <c r="L49" s="13"/>
    </row>
    <row r="50" spans="1:12" ht="43.5" customHeight="1">
      <c r="A50" s="10" t="s">
        <v>287</v>
      </c>
      <c r="B50" s="12" t="s">
        <v>326</v>
      </c>
      <c r="C50" s="14" t="s">
        <v>373</v>
      </c>
      <c r="D50" s="13"/>
      <c r="E50" s="13"/>
      <c r="F50" s="13"/>
      <c r="G50" s="13"/>
      <c r="H50" s="13"/>
      <c r="I50" s="13"/>
      <c r="J50" s="13"/>
      <c r="K50" s="13"/>
      <c r="L50" s="13"/>
    </row>
    <row r="51" spans="1:12" s="51" customFormat="1" ht="17.25" customHeight="1">
      <c r="A51" s="60">
        <v>11</v>
      </c>
      <c r="B51" s="111" t="s">
        <v>297</v>
      </c>
      <c r="C51" s="111"/>
      <c r="D51" s="111"/>
      <c r="E51" s="111"/>
      <c r="F51" s="111"/>
      <c r="G51" s="111"/>
      <c r="H51" s="111"/>
      <c r="I51" s="111"/>
      <c r="J51" s="111"/>
      <c r="K51" s="111"/>
      <c r="L51" s="112"/>
    </row>
    <row r="52" spans="1:12" ht="102">
      <c r="A52" s="10" t="s">
        <v>296</v>
      </c>
      <c r="B52" s="12" t="s">
        <v>300</v>
      </c>
      <c r="C52" s="14" t="s">
        <v>374</v>
      </c>
      <c r="D52" s="58">
        <f>(187106.38-591.92)/187106.38</f>
        <v>0.99683645207608629</v>
      </c>
      <c r="E52" s="58">
        <f>(591.92-0)/591.92</f>
        <v>1</v>
      </c>
      <c r="F52" s="58">
        <v>0</v>
      </c>
      <c r="G52" s="13"/>
      <c r="H52" s="13"/>
      <c r="I52" s="13"/>
      <c r="J52" s="58">
        <f>(187106.38-591.92)/187106.38</f>
        <v>0.99683645207608629</v>
      </c>
      <c r="K52" s="58">
        <f>(591.92-0)/591.92</f>
        <v>1</v>
      </c>
      <c r="L52" s="58">
        <v>0</v>
      </c>
    </row>
    <row r="53" spans="1:12" s="51" customFormat="1" ht="17.25" customHeight="1">
      <c r="A53" s="60">
        <v>12</v>
      </c>
      <c r="B53" s="111" t="s">
        <v>293</v>
      </c>
      <c r="C53" s="111"/>
      <c r="D53" s="111"/>
      <c r="E53" s="111"/>
      <c r="F53" s="111"/>
      <c r="G53" s="111"/>
      <c r="H53" s="111"/>
      <c r="I53" s="111"/>
      <c r="J53" s="111"/>
      <c r="K53" s="111"/>
      <c r="L53" s="112"/>
    </row>
    <row r="54" spans="1:12" ht="76.5">
      <c r="A54" s="10" t="s">
        <v>298</v>
      </c>
      <c r="B54" s="12" t="s">
        <v>294</v>
      </c>
      <c r="C54" s="14" t="s">
        <v>375</v>
      </c>
      <c r="D54" s="52">
        <f>4799300/24639339.12</f>
        <v>0.19478201004605517</v>
      </c>
      <c r="E54" s="52">
        <f>4798250/22812682.08</f>
        <v>0.21033256778722445</v>
      </c>
      <c r="F54" s="52">
        <f>4798250/22653774</f>
        <v>0.21180797513032487</v>
      </c>
      <c r="G54" s="13"/>
      <c r="H54" s="13"/>
      <c r="I54" s="13"/>
      <c r="J54" s="13"/>
      <c r="K54" s="13"/>
      <c r="L54" s="13"/>
    </row>
    <row r="55" spans="1:12" ht="89.25">
      <c r="A55" s="10" t="s">
        <v>299</v>
      </c>
      <c r="B55" s="19" t="s">
        <v>295</v>
      </c>
      <c r="C55" s="14" t="s">
        <v>376</v>
      </c>
      <c r="D55" s="52">
        <f>4799300/24640145.5</f>
        <v>0.19477563555783386</v>
      </c>
      <c r="E55" s="52">
        <f>4798250/22813274</f>
        <v>0.21032711043579277</v>
      </c>
      <c r="F55" s="52">
        <f>4798250/22653774</f>
        <v>0.21180797513032487</v>
      </c>
      <c r="G55" s="18"/>
      <c r="H55" s="18"/>
      <c r="I55" s="18"/>
      <c r="J55" s="52">
        <f>4799300/24640145.5</f>
        <v>0.19477563555783386</v>
      </c>
      <c r="K55" s="52">
        <f>4798250/22813274</f>
        <v>0.21032711043579277</v>
      </c>
      <c r="L55" s="52">
        <f>4798250/22653774</f>
        <v>0.21180797513032487</v>
      </c>
    </row>
    <row r="56" spans="1:12" ht="20.25" customHeight="1">
      <c r="A56" s="110" t="s">
        <v>377</v>
      </c>
      <c r="B56" s="110"/>
      <c r="C56" s="110"/>
      <c r="D56" s="20"/>
      <c r="E56" s="20"/>
      <c r="F56" s="20"/>
      <c r="G56" s="20"/>
      <c r="H56" s="20"/>
      <c r="I56" s="20"/>
      <c r="J56" s="20"/>
      <c r="K56" s="20"/>
      <c r="L56" s="20"/>
    </row>
    <row r="57" spans="1:12" ht="43.5" customHeight="1">
      <c r="A57" s="108" t="s">
        <v>378</v>
      </c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</row>
    <row r="58" spans="1:12" ht="33" customHeight="1">
      <c r="A58" s="109" t="s">
        <v>379</v>
      </c>
      <c r="B58" s="109"/>
      <c r="C58" s="109"/>
      <c r="D58" s="109"/>
      <c r="E58" s="109"/>
      <c r="F58" s="109"/>
      <c r="G58" s="109"/>
      <c r="H58" s="109"/>
      <c r="I58" s="109"/>
      <c r="J58" s="109"/>
      <c r="K58" s="109"/>
      <c r="L58" s="109"/>
    </row>
    <row r="59" spans="1:12" ht="30.75" customHeight="1">
      <c r="A59" s="105" t="s">
        <v>380</v>
      </c>
      <c r="B59" s="105"/>
      <c r="C59" s="105"/>
      <c r="D59" s="105"/>
      <c r="E59" s="105"/>
      <c r="F59" s="105"/>
      <c r="G59" s="105"/>
      <c r="H59" s="105"/>
      <c r="I59" s="105"/>
      <c r="J59" s="105"/>
      <c r="K59" s="105"/>
      <c r="L59" s="105"/>
    </row>
    <row r="60" spans="1:12" ht="31.5" customHeight="1">
      <c r="A60" s="105" t="s">
        <v>415</v>
      </c>
      <c r="B60" s="105"/>
      <c r="C60" s="105"/>
      <c r="D60" s="105"/>
      <c r="E60" s="105"/>
      <c r="F60" s="105"/>
      <c r="G60" s="105"/>
      <c r="H60" s="105"/>
      <c r="I60" s="105"/>
      <c r="J60" s="105"/>
      <c r="K60" s="105"/>
      <c r="L60" s="105"/>
    </row>
    <row r="61" spans="1:12" ht="21" customHeight="1">
      <c r="A61" s="106" t="s">
        <v>381</v>
      </c>
      <c r="B61" s="106"/>
      <c r="C61" s="106"/>
      <c r="D61" s="106"/>
      <c r="E61" s="106"/>
      <c r="F61" s="106"/>
      <c r="G61" s="106"/>
    </row>
    <row r="62" spans="1:12" ht="33.75" customHeight="1">
      <c r="A62" s="105" t="s">
        <v>382</v>
      </c>
      <c r="B62" s="105"/>
      <c r="C62" s="105"/>
      <c r="D62" s="105"/>
      <c r="E62" s="105"/>
      <c r="F62" s="105"/>
      <c r="G62" s="105"/>
      <c r="H62" s="105"/>
      <c r="I62" s="105"/>
      <c r="J62" s="105"/>
      <c r="K62" s="105"/>
      <c r="L62" s="105"/>
    </row>
    <row r="63" spans="1:12" ht="29.25" customHeight="1">
      <c r="A63" s="105" t="s">
        <v>383</v>
      </c>
      <c r="B63" s="105"/>
      <c r="C63" s="105"/>
      <c r="D63" s="105"/>
      <c r="E63" s="105"/>
      <c r="F63" s="105"/>
      <c r="G63" s="105"/>
      <c r="H63" s="105"/>
      <c r="I63" s="105"/>
      <c r="J63" s="105"/>
      <c r="K63" s="105"/>
      <c r="L63" s="105"/>
    </row>
    <row r="64" spans="1:12" ht="28.5" customHeight="1">
      <c r="A64" s="106" t="s">
        <v>384</v>
      </c>
      <c r="B64" s="106"/>
      <c r="C64" s="106"/>
      <c r="D64" s="106"/>
      <c r="E64" s="106"/>
      <c r="F64" s="106"/>
      <c r="G64" s="106"/>
      <c r="H64" s="106"/>
      <c r="I64" s="106"/>
      <c r="J64" s="106"/>
      <c r="K64" s="106"/>
      <c r="L64" s="106"/>
    </row>
    <row r="65" spans="1:12" ht="24" customHeight="1">
      <c r="A65" s="106" t="s">
        <v>385</v>
      </c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</row>
    <row r="66" spans="1:12" ht="12" customHeight="1">
      <c r="A66" s="107" t="s">
        <v>386</v>
      </c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</row>
  </sheetData>
  <mergeCells count="31">
    <mergeCell ref="A2:L2"/>
    <mergeCell ref="A3:L3"/>
    <mergeCell ref="C4:F4"/>
    <mergeCell ref="A5:B7"/>
    <mergeCell ref="C5:C7"/>
    <mergeCell ref="D5:L5"/>
    <mergeCell ref="D6:F6"/>
    <mergeCell ref="G6:I6"/>
    <mergeCell ref="J6:L6"/>
    <mergeCell ref="A56:C56"/>
    <mergeCell ref="B8:L8"/>
    <mergeCell ref="B10:L10"/>
    <mergeCell ref="B15:L15"/>
    <mergeCell ref="D17:F17"/>
    <mergeCell ref="B20:L20"/>
    <mergeCell ref="B22:L22"/>
    <mergeCell ref="B37:L37"/>
    <mergeCell ref="B41:L41"/>
    <mergeCell ref="B46:L46"/>
    <mergeCell ref="B51:L51"/>
    <mergeCell ref="B53:L53"/>
    <mergeCell ref="A63:L63"/>
    <mergeCell ref="A64:L64"/>
    <mergeCell ref="A65:L65"/>
    <mergeCell ref="A66:L66"/>
    <mergeCell ref="A57:L57"/>
    <mergeCell ref="A58:L58"/>
    <mergeCell ref="A59:L59"/>
    <mergeCell ref="A60:L60"/>
    <mergeCell ref="A61:G61"/>
    <mergeCell ref="A62:L62"/>
  </mergeCells>
  <printOptions horizontalCentered="1"/>
  <pageMargins left="0.31496062992125984" right="0.31496062992125984" top="0.35433070866141736" bottom="0.74803149606299213" header="0.31496062992125984" footer="0.31496062992125984"/>
  <pageSetup paperSize="8" scale="83" fitToHeight="5" orientation="landscape" r:id="rId1"/>
  <rowBreaks count="1" manualBreakCount="1">
    <brk id="52" max="11" man="1"/>
  </rowBreaks>
  <ignoredErrors>
    <ignoredError sqref="D43 E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H81"/>
  <sheetViews>
    <sheetView view="pageBreakPreview" zoomScale="80" zoomScaleNormal="100" zoomScaleSheetLayoutView="80" workbookViewId="0">
      <pane ySplit="7" topLeftCell="A56" activePane="bottomLeft" state="frozen"/>
      <selection activeCell="C5" sqref="A5:C8"/>
      <selection pane="bottomLeft" activeCell="B58" sqref="B58:H67"/>
    </sheetView>
  </sheetViews>
  <sheetFormatPr defaultColWidth="9.140625" defaultRowHeight="12.75"/>
  <cols>
    <col min="1" max="1" width="11.28515625" style="74" customWidth="1"/>
    <col min="2" max="2" width="57.85546875" style="74" customWidth="1"/>
    <col min="3" max="5" width="20.5703125" style="4" customWidth="1"/>
    <col min="6" max="6" width="20.28515625" style="4" bestFit="1" customWidth="1"/>
    <col min="7" max="7" width="20.85546875" style="4" customWidth="1"/>
    <col min="8" max="8" width="24.85546875" style="4" bestFit="1" customWidth="1"/>
    <col min="9" max="16384" width="9.140625" style="75"/>
  </cols>
  <sheetData>
    <row r="1" spans="1:8" ht="18">
      <c r="G1" s="4" t="s">
        <v>327</v>
      </c>
      <c r="H1" s="43" t="s">
        <v>399</v>
      </c>
    </row>
    <row r="2" spans="1:8" ht="18">
      <c r="A2" s="119" t="s">
        <v>225</v>
      </c>
      <c r="B2" s="119"/>
      <c r="C2" s="119"/>
      <c r="D2" s="119"/>
      <c r="E2" s="119"/>
      <c r="F2" s="119"/>
      <c r="G2" s="119"/>
      <c r="H2" s="119"/>
    </row>
    <row r="3" spans="1:8" ht="15.75">
      <c r="A3" s="120" t="s">
        <v>410</v>
      </c>
      <c r="B3" s="120"/>
      <c r="C3" s="120"/>
      <c r="D3" s="120"/>
      <c r="E3" s="120"/>
      <c r="F3" s="120"/>
      <c r="G3" s="120"/>
      <c r="H3" s="120"/>
    </row>
    <row r="4" spans="1:8" ht="15.75" customHeight="1">
      <c r="A4" s="136" t="s">
        <v>226</v>
      </c>
      <c r="B4" s="136"/>
      <c r="C4" s="136"/>
      <c r="D4" s="136"/>
      <c r="E4" s="136"/>
      <c r="F4" s="136"/>
      <c r="G4" s="136"/>
      <c r="H4" s="136"/>
    </row>
    <row r="5" spans="1:8" ht="15">
      <c r="A5" s="76"/>
    </row>
    <row r="6" spans="1:8" ht="12.75" customHeight="1">
      <c r="A6" s="137" t="s">
        <v>160</v>
      </c>
      <c r="B6" s="138" t="s">
        <v>161</v>
      </c>
      <c r="C6" s="140" t="s">
        <v>289</v>
      </c>
      <c r="D6" s="140"/>
      <c r="E6" s="140"/>
      <c r="F6" s="140"/>
      <c r="G6" s="140" t="s">
        <v>329</v>
      </c>
      <c r="H6" s="140"/>
    </row>
    <row r="7" spans="1:8" ht="85.5" customHeight="1">
      <c r="A7" s="137"/>
      <c r="B7" s="139"/>
      <c r="C7" s="62" t="s">
        <v>387</v>
      </c>
      <c r="D7" s="62" t="s">
        <v>334</v>
      </c>
      <c r="E7" s="62" t="s">
        <v>388</v>
      </c>
      <c r="F7" s="62" t="s">
        <v>328</v>
      </c>
      <c r="G7" s="62" t="s">
        <v>389</v>
      </c>
      <c r="H7" s="62" t="s">
        <v>330</v>
      </c>
    </row>
    <row r="8" spans="1:8" ht="35.1" customHeight="1">
      <c r="A8" s="40" t="s">
        <v>79</v>
      </c>
      <c r="B8" s="63" t="s">
        <v>80</v>
      </c>
      <c r="C8" s="64"/>
      <c r="D8" s="64"/>
      <c r="E8" s="64"/>
      <c r="F8" s="64"/>
      <c r="G8" s="64"/>
      <c r="H8" s="64"/>
    </row>
    <row r="9" spans="1:8" ht="35.1" customHeight="1">
      <c r="A9" s="65" t="s">
        <v>81</v>
      </c>
      <c r="B9" s="66" t="s">
        <v>82</v>
      </c>
      <c r="C9" s="64"/>
      <c r="D9" s="64"/>
      <c r="E9" s="64"/>
      <c r="F9" s="64"/>
      <c r="G9" s="64"/>
      <c r="H9" s="31" t="s">
        <v>327</v>
      </c>
    </row>
    <row r="10" spans="1:8" ht="35.1" customHeight="1">
      <c r="A10" s="65" t="s">
        <v>83</v>
      </c>
      <c r="B10" s="66" t="s">
        <v>305</v>
      </c>
      <c r="C10" s="64"/>
      <c r="D10" s="64"/>
      <c r="E10" s="64"/>
      <c r="F10" s="64"/>
      <c r="G10" s="64"/>
      <c r="H10" s="64"/>
    </row>
    <row r="11" spans="1:8" ht="35.1" customHeight="1">
      <c r="A11" s="65" t="s">
        <v>84</v>
      </c>
      <c r="B11" s="66" t="s">
        <v>306</v>
      </c>
      <c r="C11" s="64"/>
      <c r="D11" s="64"/>
      <c r="E11" s="64"/>
      <c r="F11" s="64"/>
      <c r="G11" s="64"/>
      <c r="H11" s="64"/>
    </row>
    <row r="12" spans="1:8" ht="35.1" customHeight="1">
      <c r="A12" s="65" t="s">
        <v>85</v>
      </c>
      <c r="B12" s="66" t="s">
        <v>86</v>
      </c>
      <c r="C12" s="64"/>
      <c r="D12" s="64"/>
      <c r="E12" s="64"/>
      <c r="F12" s="64"/>
      <c r="G12" s="64"/>
      <c r="H12" s="64"/>
    </row>
    <row r="13" spans="1:8" ht="35.1" customHeight="1">
      <c r="A13" s="65" t="s">
        <v>87</v>
      </c>
      <c r="B13" s="66" t="s">
        <v>88</v>
      </c>
      <c r="C13" s="64"/>
      <c r="D13" s="64"/>
      <c r="E13" s="64"/>
      <c r="F13" s="64"/>
      <c r="G13" s="64"/>
      <c r="H13" s="64"/>
    </row>
    <row r="14" spans="1:8" ht="35.1" customHeight="1">
      <c r="A14" s="29">
        <v>10000</v>
      </c>
      <c r="B14" s="67" t="s">
        <v>89</v>
      </c>
      <c r="C14" s="64"/>
      <c r="D14" s="64"/>
      <c r="E14" s="64"/>
      <c r="F14" s="64"/>
      <c r="G14" s="64"/>
      <c r="H14" s="64"/>
    </row>
    <row r="15" spans="1:8" ht="35.1" customHeight="1">
      <c r="A15" s="40" t="s">
        <v>90</v>
      </c>
      <c r="B15" s="67" t="s">
        <v>91</v>
      </c>
      <c r="C15" s="68"/>
      <c r="D15" s="68"/>
      <c r="E15" s="68"/>
      <c r="F15" s="68"/>
      <c r="G15" s="68"/>
      <c r="H15" s="80"/>
    </row>
    <row r="16" spans="1:8" ht="35.1" customHeight="1">
      <c r="A16" s="65" t="s">
        <v>92</v>
      </c>
      <c r="B16" s="66" t="s">
        <v>93</v>
      </c>
      <c r="C16" s="36">
        <v>0.81130000000000002</v>
      </c>
      <c r="D16" s="36">
        <v>0.80030000000000001</v>
      </c>
      <c r="E16" s="36">
        <v>0.80130000000000001</v>
      </c>
      <c r="F16" s="36">
        <v>0.79579999999999995</v>
      </c>
      <c r="G16" s="36">
        <f>21540122.64/21540122.64</f>
        <v>1</v>
      </c>
      <c r="H16" s="36">
        <v>0.99970000000000003</v>
      </c>
    </row>
    <row r="17" spans="1:8" ht="35.1" customHeight="1">
      <c r="A17" s="65" t="s">
        <v>94</v>
      </c>
      <c r="B17" s="66" t="s">
        <v>95</v>
      </c>
      <c r="C17" s="68"/>
      <c r="D17" s="68"/>
      <c r="E17" s="68"/>
      <c r="F17" s="80"/>
      <c r="G17" s="68"/>
      <c r="H17" s="80"/>
    </row>
    <row r="18" spans="1:8" ht="35.1" customHeight="1">
      <c r="A18" s="65" t="s">
        <v>96</v>
      </c>
      <c r="B18" s="66" t="s">
        <v>97</v>
      </c>
      <c r="C18" s="64"/>
      <c r="D18" s="64"/>
      <c r="E18" s="64"/>
      <c r="F18" s="69"/>
      <c r="G18" s="64"/>
      <c r="H18" s="69"/>
    </row>
    <row r="19" spans="1:8" ht="35.1" customHeight="1">
      <c r="A19" s="65" t="s">
        <v>98</v>
      </c>
      <c r="B19" s="66" t="s">
        <v>99</v>
      </c>
      <c r="C19" s="36">
        <v>2.0000000000000001E-4</v>
      </c>
      <c r="D19" s="36">
        <v>2.0000000000000001E-4</v>
      </c>
      <c r="E19" s="36">
        <v>2.0000000000000001E-4</v>
      </c>
      <c r="F19" s="36">
        <v>1E-4</v>
      </c>
      <c r="G19" s="36">
        <f>21540122.64/21540122.64</f>
        <v>1</v>
      </c>
      <c r="H19" s="36">
        <v>1</v>
      </c>
    </row>
    <row r="20" spans="1:8" ht="35.1" customHeight="1">
      <c r="A20" s="65" t="s">
        <v>100</v>
      </c>
      <c r="B20" s="66" t="s">
        <v>101</v>
      </c>
      <c r="C20" s="64"/>
      <c r="D20" s="64"/>
      <c r="E20" s="64"/>
      <c r="F20" s="64"/>
      <c r="G20" s="64"/>
      <c r="H20" s="69"/>
    </row>
    <row r="21" spans="1:8" ht="35.1" customHeight="1">
      <c r="A21" s="29">
        <v>20000</v>
      </c>
      <c r="B21" s="67" t="s">
        <v>102</v>
      </c>
      <c r="C21" s="31">
        <v>0.8115</v>
      </c>
      <c r="D21" s="31">
        <v>0.80049999999999999</v>
      </c>
      <c r="E21" s="31">
        <v>0.80149999999999999</v>
      </c>
      <c r="F21" s="31">
        <v>0.79590000000000005</v>
      </c>
      <c r="G21" s="31">
        <f>21540122.64/21540122.64</f>
        <v>1</v>
      </c>
      <c r="H21" s="31">
        <v>0.99970000000000003</v>
      </c>
    </row>
    <row r="22" spans="1:8" ht="35.1" customHeight="1">
      <c r="A22" s="40" t="s">
        <v>103</v>
      </c>
      <c r="B22" s="67" t="s">
        <v>104</v>
      </c>
      <c r="C22" s="64"/>
      <c r="D22" s="64"/>
      <c r="E22" s="64"/>
      <c r="F22" s="64"/>
      <c r="G22" s="64"/>
      <c r="H22" s="69"/>
    </row>
    <row r="23" spans="1:8" ht="35.1" customHeight="1">
      <c r="A23" s="65" t="s">
        <v>105</v>
      </c>
      <c r="B23" s="66" t="s">
        <v>106</v>
      </c>
      <c r="C23" s="78">
        <v>0</v>
      </c>
      <c r="D23" s="78">
        <v>0</v>
      </c>
      <c r="E23" s="78">
        <v>0</v>
      </c>
      <c r="F23" s="36">
        <f>AVERAGE(18521.88,2269.3,3687.98)/AVERAGE(27735984.48,27260835.05,27052244.54)</f>
        <v>2.9834782733311442E-4</v>
      </c>
      <c r="G23" s="36">
        <v>1</v>
      </c>
      <c r="H23" s="36">
        <v>0.92889999999999995</v>
      </c>
    </row>
    <row r="24" spans="1:8" ht="35.1" customHeight="1">
      <c r="A24" s="65" t="s">
        <v>107</v>
      </c>
      <c r="B24" s="66" t="s">
        <v>108</v>
      </c>
      <c r="C24" s="78">
        <v>0</v>
      </c>
      <c r="D24" s="78">
        <v>0</v>
      </c>
      <c r="E24" s="78">
        <v>0</v>
      </c>
      <c r="F24" s="36">
        <f>AVERAGE(519.68,1600,2660.5)/AVERAGE(27735984.48,27260835.05,27052244.54)</f>
        <v>5.8260018614250123E-5</v>
      </c>
      <c r="G24" s="36">
        <v>0</v>
      </c>
      <c r="H24" s="36">
        <f>AVERAGE(519.68,1600,2660.5)/AVERAGE(519.68,1600,2660.5)</f>
        <v>1</v>
      </c>
    </row>
    <row r="25" spans="1:8" ht="35.1" customHeight="1">
      <c r="A25" s="65" t="s">
        <v>109</v>
      </c>
      <c r="B25" s="66" t="s">
        <v>110</v>
      </c>
      <c r="C25" s="78">
        <v>0</v>
      </c>
      <c r="D25" s="78">
        <v>0</v>
      </c>
      <c r="E25" s="78">
        <v>0</v>
      </c>
      <c r="F25" s="36">
        <f>AVERAGE(991.86,627.81,258.35)/AVERAGE(27735984.48,27260835.05,27052244.54)</f>
        <v>2.2888987477026809E-5</v>
      </c>
      <c r="G25" s="36">
        <v>1</v>
      </c>
      <c r="H25" s="36">
        <v>0.99850000000000005</v>
      </c>
    </row>
    <row r="26" spans="1:8" ht="35.1" customHeight="1">
      <c r="A26" s="65" t="s">
        <v>111</v>
      </c>
      <c r="B26" s="66" t="s">
        <v>197</v>
      </c>
      <c r="C26" s="31"/>
      <c r="D26" s="31"/>
      <c r="E26" s="64"/>
      <c r="F26" s="69"/>
      <c r="G26" s="64"/>
      <c r="H26" s="69"/>
    </row>
    <row r="27" spans="1:8" ht="35.1" customHeight="1">
      <c r="A27" s="65" t="s">
        <v>112</v>
      </c>
      <c r="B27" s="70" t="s">
        <v>113</v>
      </c>
      <c r="C27" s="78">
        <v>6.0000000000000001E-3</v>
      </c>
      <c r="D27" s="78">
        <v>7.7999999999999996E-3</v>
      </c>
      <c r="E27" s="78">
        <v>7.4000000000000003E-3</v>
      </c>
      <c r="F27" s="36">
        <f>AVERAGE(279974,186002.81,352709.255)/AVERAGE(27735984.48,27260835.05,27052244.54)</f>
        <v>9.9780061391259705E-3</v>
      </c>
      <c r="G27" s="36">
        <f>203126/203126</f>
        <v>1</v>
      </c>
      <c r="H27" s="36">
        <v>0.80930000000000002</v>
      </c>
    </row>
    <row r="28" spans="1:8" ht="35.1" customHeight="1">
      <c r="A28" s="71" t="s">
        <v>198</v>
      </c>
      <c r="B28" s="67" t="s">
        <v>199</v>
      </c>
      <c r="C28" s="37">
        <v>6.0000000000000001E-3</v>
      </c>
      <c r="D28" s="37">
        <v>7.7999999999999996E-3</v>
      </c>
      <c r="E28" s="37">
        <v>7.4000000000000003E-3</v>
      </c>
      <c r="F28" s="31">
        <f xml:space="preserve"> AVERAGE(372742.67,190499.92,286580.83)/AVERAGE(27735984.48,27260835.05,27052244.54)</f>
        <v>1.0357502911611215E-2</v>
      </c>
      <c r="G28" s="31">
        <f>204220.33/204220.33</f>
        <v>1</v>
      </c>
      <c r="H28" s="31">
        <v>0.81379999999999997</v>
      </c>
    </row>
    <row r="29" spans="1:8" ht="35.1" customHeight="1">
      <c r="A29" s="40" t="s">
        <v>200</v>
      </c>
      <c r="B29" s="67" t="s">
        <v>201</v>
      </c>
      <c r="C29" s="64"/>
      <c r="D29" s="64"/>
      <c r="E29" s="64"/>
      <c r="F29" s="64"/>
      <c r="G29" s="64"/>
      <c r="H29" s="64"/>
    </row>
    <row r="30" spans="1:8" ht="35.1" customHeight="1">
      <c r="A30" s="65" t="s">
        <v>114</v>
      </c>
      <c r="B30" s="66" t="s">
        <v>115</v>
      </c>
      <c r="C30" s="64"/>
      <c r="D30" s="64"/>
      <c r="E30" s="64"/>
      <c r="F30" s="64"/>
      <c r="G30" s="64"/>
      <c r="H30" s="64"/>
    </row>
    <row r="31" spans="1:8" ht="35.1" customHeight="1">
      <c r="A31" s="65" t="s">
        <v>116</v>
      </c>
      <c r="B31" s="66" t="s">
        <v>117</v>
      </c>
      <c r="C31" s="78">
        <v>2.3300000000000001E-2</v>
      </c>
      <c r="D31" s="78">
        <v>1.9699999999999999E-2</v>
      </c>
      <c r="E31" s="78">
        <v>1.9800000000000002E-2</v>
      </c>
      <c r="F31" s="36">
        <f>AVERAGE(0)/AVERAGE(27735984.48,27260835.05,27052244.54)</f>
        <v>0</v>
      </c>
      <c r="G31" s="36">
        <v>1</v>
      </c>
      <c r="H31" s="79">
        <v>0</v>
      </c>
    </row>
    <row r="32" spans="1:8" ht="35.1" customHeight="1">
      <c r="A32" s="72" t="s">
        <v>118</v>
      </c>
      <c r="B32" s="66" t="s">
        <v>119</v>
      </c>
      <c r="C32" s="78">
        <v>0</v>
      </c>
      <c r="D32" s="78">
        <v>0</v>
      </c>
      <c r="E32" s="78">
        <v>0</v>
      </c>
      <c r="F32" s="36">
        <f>AVERAGE(523792.04,1032553,715517.22)/AVERAGE(27735984.48,27260835.05,27052244.54)</f>
        <v>2.7689069774906455E-2</v>
      </c>
      <c r="G32" s="36">
        <v>0</v>
      </c>
      <c r="H32" s="36">
        <f>AVERAGE(715517.22,1032553,523792.04)/AVERAGE(715517.22,1032553,523792.04)</f>
        <v>1</v>
      </c>
    </row>
    <row r="33" spans="1:8" ht="35.1" customHeight="1">
      <c r="A33" s="65" t="s">
        <v>120</v>
      </c>
      <c r="B33" s="66" t="s">
        <v>121</v>
      </c>
      <c r="C33" s="78"/>
      <c r="D33" s="78"/>
      <c r="E33" s="78"/>
      <c r="F33" s="69"/>
      <c r="G33" s="69"/>
      <c r="H33" s="69"/>
    </row>
    <row r="34" spans="1:8" ht="35.1" customHeight="1">
      <c r="A34" s="65" t="s">
        <v>122</v>
      </c>
      <c r="B34" s="66" t="s">
        <v>123</v>
      </c>
      <c r="C34" s="78">
        <v>0</v>
      </c>
      <c r="D34" s="78">
        <v>1.9E-3</v>
      </c>
      <c r="E34" s="78">
        <v>0</v>
      </c>
      <c r="F34" s="36">
        <f>AVERAGE(24507.61,572.49,0)/AVERAGE(27735984.48,27260835.05,27052244.54)</f>
        <v>3.056719815670654E-4</v>
      </c>
      <c r="G34" s="36">
        <v>0</v>
      </c>
      <c r="H34" s="36">
        <f>AVERAGE(24505.11,572.49,0)/AVERAGE(24507.61,572.49,0)</f>
        <v>0.99990031937671697</v>
      </c>
    </row>
    <row r="35" spans="1:8" ht="35.1" customHeight="1">
      <c r="A35" s="73" t="s">
        <v>202</v>
      </c>
      <c r="B35" s="67" t="s">
        <v>124</v>
      </c>
      <c r="C35" s="31">
        <v>2.3300000000000001E-2</v>
      </c>
      <c r="D35" s="31">
        <v>2.1600000000000001E-2</v>
      </c>
      <c r="E35" s="31">
        <v>1.9800000000000002E-2</v>
      </c>
      <c r="F35" s="31">
        <f>AVERAGE(740024.83,1033125.49,523792.04)/AVERAGE(27052244.54,27260835.05,27735984.48)</f>
        <v>2.7994741756473512E-2</v>
      </c>
      <c r="G35" s="31">
        <f>1032553/1032553</f>
        <v>1</v>
      </c>
      <c r="H35" s="31">
        <f>AVERAGE(740022.33,1033125.49,523792.04)/AVERAGE(740024.83,1033125.49,523792.04)</f>
        <v>0.9999989115965453</v>
      </c>
    </row>
    <row r="36" spans="1:8" ht="35.1" customHeight="1">
      <c r="A36" s="40" t="s">
        <v>125</v>
      </c>
      <c r="B36" s="67" t="s">
        <v>126</v>
      </c>
      <c r="C36" s="64"/>
      <c r="D36" s="64"/>
      <c r="E36" s="64"/>
      <c r="F36" s="64"/>
      <c r="G36" s="64"/>
      <c r="H36" s="64"/>
    </row>
    <row r="37" spans="1:8" ht="35.1" customHeight="1">
      <c r="A37" s="65" t="s">
        <v>127</v>
      </c>
      <c r="B37" s="66" t="s">
        <v>128</v>
      </c>
      <c r="C37" s="64"/>
      <c r="D37" s="64"/>
      <c r="E37" s="64"/>
      <c r="F37" s="64"/>
      <c r="G37" s="64"/>
      <c r="H37" s="64"/>
    </row>
    <row r="38" spans="1:8" ht="35.1" customHeight="1">
      <c r="A38" s="65" t="s">
        <v>129</v>
      </c>
      <c r="B38" s="66" t="s">
        <v>130</v>
      </c>
      <c r="C38" s="68"/>
      <c r="D38" s="68"/>
      <c r="E38" s="68"/>
      <c r="F38" s="68"/>
      <c r="G38" s="68"/>
      <c r="H38" s="68"/>
    </row>
    <row r="39" spans="1:8" ht="35.1" customHeight="1">
      <c r="A39" s="65" t="s">
        <v>131</v>
      </c>
      <c r="B39" s="66" t="s">
        <v>132</v>
      </c>
      <c r="C39" s="64"/>
      <c r="D39" s="64"/>
      <c r="E39" s="64"/>
      <c r="F39" s="64"/>
      <c r="G39" s="64"/>
      <c r="H39" s="64"/>
    </row>
    <row r="40" spans="1:8" ht="35.1" customHeight="1">
      <c r="A40" s="65" t="s">
        <v>133</v>
      </c>
      <c r="B40" s="66" t="s">
        <v>134</v>
      </c>
      <c r="C40" s="68"/>
      <c r="D40" s="68"/>
      <c r="E40" s="68"/>
      <c r="F40" s="68"/>
      <c r="G40" s="68"/>
      <c r="H40" s="68"/>
    </row>
    <row r="41" spans="1:8" ht="35.1" customHeight="1">
      <c r="A41" s="29">
        <v>50000</v>
      </c>
      <c r="B41" s="67" t="s">
        <v>135</v>
      </c>
      <c r="C41" s="64"/>
      <c r="D41" s="64"/>
      <c r="E41" s="64"/>
      <c r="F41" s="64"/>
      <c r="G41" s="64"/>
      <c r="H41" s="64"/>
    </row>
    <row r="42" spans="1:8" ht="35.1" customHeight="1">
      <c r="A42" s="40" t="s">
        <v>136</v>
      </c>
      <c r="B42" s="67" t="s">
        <v>137</v>
      </c>
      <c r="C42" s="64"/>
      <c r="D42" s="64"/>
      <c r="E42" s="64"/>
      <c r="F42" s="64"/>
      <c r="G42" s="64"/>
      <c r="H42" s="64"/>
    </row>
    <row r="43" spans="1:8" ht="35.1" customHeight="1">
      <c r="A43" s="65" t="s">
        <v>138</v>
      </c>
      <c r="B43" s="66" t="s">
        <v>139</v>
      </c>
      <c r="C43" s="64"/>
      <c r="D43" s="64"/>
      <c r="E43" s="64"/>
      <c r="F43" s="64"/>
      <c r="G43" s="64"/>
      <c r="H43" s="64"/>
    </row>
    <row r="44" spans="1:8" ht="35.1" customHeight="1">
      <c r="A44" s="65" t="s">
        <v>140</v>
      </c>
      <c r="B44" s="66" t="s">
        <v>141</v>
      </c>
      <c r="C44" s="64"/>
      <c r="D44" s="64"/>
      <c r="E44" s="64"/>
      <c r="F44" s="64"/>
      <c r="G44" s="64"/>
      <c r="H44" s="64"/>
    </row>
    <row r="45" spans="1:8" ht="35.1" customHeight="1">
      <c r="A45" s="65" t="s">
        <v>142</v>
      </c>
      <c r="B45" s="66" t="s">
        <v>143</v>
      </c>
      <c r="C45" s="64"/>
      <c r="D45" s="64"/>
      <c r="E45" s="64"/>
      <c r="F45" s="64"/>
      <c r="G45" s="64"/>
      <c r="H45" s="64"/>
    </row>
    <row r="46" spans="1:8" ht="35.1" customHeight="1">
      <c r="A46" s="65" t="s">
        <v>144</v>
      </c>
      <c r="B46" s="66" t="s">
        <v>145</v>
      </c>
      <c r="C46" s="68"/>
      <c r="D46" s="68"/>
      <c r="E46" s="68"/>
      <c r="F46" s="68"/>
      <c r="G46" s="68"/>
      <c r="H46" s="68"/>
    </row>
    <row r="47" spans="1:8" ht="35.1" customHeight="1">
      <c r="A47" s="29">
        <v>60000</v>
      </c>
      <c r="B47" s="67" t="s">
        <v>146</v>
      </c>
      <c r="C47" s="64"/>
      <c r="D47" s="64"/>
      <c r="E47" s="64"/>
      <c r="F47" s="64"/>
      <c r="G47" s="64"/>
      <c r="H47" s="64"/>
    </row>
    <row r="48" spans="1:8" ht="35.1" customHeight="1">
      <c r="A48" s="40" t="s">
        <v>147</v>
      </c>
      <c r="B48" s="67" t="s">
        <v>148</v>
      </c>
      <c r="C48" s="64"/>
      <c r="D48" s="64"/>
      <c r="E48" s="64"/>
      <c r="F48" s="64"/>
      <c r="G48" s="64"/>
      <c r="H48" s="64"/>
    </row>
    <row r="49" spans="1:8" ht="35.1" customHeight="1">
      <c r="A49" s="65" t="s">
        <v>149</v>
      </c>
      <c r="B49" s="66" t="s">
        <v>150</v>
      </c>
      <c r="C49" s="64"/>
      <c r="D49" s="64"/>
      <c r="E49" s="64"/>
      <c r="F49" s="64"/>
      <c r="G49" s="64"/>
      <c r="H49" s="64"/>
    </row>
    <row r="50" spans="1:8" ht="35.1" customHeight="1">
      <c r="A50" s="29">
        <v>70000</v>
      </c>
      <c r="B50" s="67" t="s">
        <v>151</v>
      </c>
      <c r="C50" s="64"/>
      <c r="D50" s="64"/>
      <c r="E50" s="64"/>
      <c r="F50" s="64"/>
      <c r="G50" s="64"/>
      <c r="H50" s="64"/>
    </row>
    <row r="51" spans="1:8" ht="35.1" customHeight="1">
      <c r="A51" s="40" t="s">
        <v>152</v>
      </c>
      <c r="B51" s="67" t="s">
        <v>153</v>
      </c>
      <c r="C51" s="68"/>
      <c r="D51" s="68"/>
      <c r="E51" s="68"/>
      <c r="F51" s="68"/>
      <c r="G51" s="68"/>
      <c r="H51" s="68"/>
    </row>
    <row r="52" spans="1:8" ht="35.1" customHeight="1">
      <c r="A52" s="65" t="s">
        <v>154</v>
      </c>
      <c r="B52" s="66" t="s">
        <v>155</v>
      </c>
      <c r="C52" s="78">
        <v>0.159</v>
      </c>
      <c r="D52" s="78">
        <v>0.17</v>
      </c>
      <c r="E52" s="78">
        <v>0.17119999999999999</v>
      </c>
      <c r="F52" s="36">
        <f>AVERAGE(4590533.41,3777760.8,3846070.33)/AVERAGE(27735984.48,27260835.05,27052244.54)</f>
        <v>0.14886659194039481</v>
      </c>
      <c r="G52" s="36">
        <f>3798200/3798200</f>
        <v>1</v>
      </c>
      <c r="H52" s="36">
        <v>0.99660000000000004</v>
      </c>
    </row>
    <row r="53" spans="1:8" ht="35.1" customHeight="1">
      <c r="A53" s="65" t="s">
        <v>156</v>
      </c>
      <c r="B53" s="66" t="s">
        <v>157</v>
      </c>
      <c r="C53" s="78">
        <v>2.0000000000000001E-4</v>
      </c>
      <c r="D53" s="78">
        <v>1E-4</v>
      </c>
      <c r="E53" s="78">
        <v>1E-4</v>
      </c>
      <c r="F53" s="36">
        <f>AVERAGE(0,689651.13,698663.39)/AVERAGE(27735984.48,27260835.05,27052244.54)</f>
        <v>1.6920540602578506E-2</v>
      </c>
      <c r="G53" s="36">
        <v>0.91249999999999998</v>
      </c>
      <c r="H53" s="36">
        <v>0.9889</v>
      </c>
    </row>
    <row r="54" spans="1:8" ht="35.1" customHeight="1">
      <c r="A54" s="29">
        <v>90000</v>
      </c>
      <c r="B54" s="67" t="s">
        <v>158</v>
      </c>
      <c r="C54" s="37">
        <v>0.15920000000000001</v>
      </c>
      <c r="D54" s="37">
        <v>0.1701</v>
      </c>
      <c r="E54" s="37">
        <v>0.17130000000000001</v>
      </c>
      <c r="F54" s="31">
        <f>AVERAGE(4590533.41,4467411.93,4544733.72)/AVERAGE(27260835.05,27735984.48,27052244.54)</f>
        <v>0.16578713254297331</v>
      </c>
      <c r="G54" s="31">
        <v>0.99990000000000001</v>
      </c>
      <c r="H54" s="31">
        <v>0.99580000000000002</v>
      </c>
    </row>
    <row r="55" spans="1:8" ht="35.1" customHeight="1">
      <c r="A55" s="135" t="s">
        <v>159</v>
      </c>
      <c r="B55" s="135"/>
      <c r="C55" s="39">
        <f>27628195.97/27628195.97</f>
        <v>1</v>
      </c>
      <c r="D55" s="39">
        <f>27723300/27723300</f>
        <v>1</v>
      </c>
      <c r="E55" s="39">
        <f>27494450/27494450</f>
        <v>1</v>
      </c>
      <c r="F55" s="31">
        <f>AVERAGE(27735984.48, 27260835.05,27052244.54)/AVERAGE(27735984.48, 27260835.05,27052244.54)</f>
        <v>1</v>
      </c>
      <c r="G55" s="39">
        <f>27628195.97/27628195.97</f>
        <v>1</v>
      </c>
      <c r="H55" s="31">
        <v>0.99690000000000001</v>
      </c>
    </row>
    <row r="56" spans="1:8" ht="53.25" customHeight="1">
      <c r="A56" s="108" t="s">
        <v>414</v>
      </c>
      <c r="B56" s="108"/>
      <c r="C56" s="108"/>
      <c r="D56" s="108"/>
      <c r="E56" s="108"/>
      <c r="F56" s="108"/>
      <c r="G56" s="108"/>
      <c r="H56" s="108"/>
    </row>
    <row r="57" spans="1:8" ht="53.25" customHeight="1">
      <c r="A57" s="22"/>
      <c r="B57" s="22"/>
      <c r="C57" s="22"/>
      <c r="D57" s="22"/>
      <c r="E57" s="22"/>
      <c r="F57" s="22"/>
      <c r="G57" s="22"/>
      <c r="H57" s="22"/>
    </row>
    <row r="58" spans="1:8">
      <c r="C58" s="74"/>
      <c r="D58" s="74"/>
      <c r="E58" s="74"/>
      <c r="F58" s="74"/>
      <c r="G58" s="74"/>
      <c r="H58" s="74"/>
    </row>
    <row r="59" spans="1:8">
      <c r="C59" s="74"/>
      <c r="D59" s="74"/>
      <c r="E59" s="74"/>
      <c r="F59" s="74"/>
      <c r="G59" s="74"/>
      <c r="H59" s="74"/>
    </row>
    <row r="60" spans="1:8">
      <c r="C60" s="74"/>
      <c r="D60" s="74"/>
      <c r="E60" s="74"/>
      <c r="F60" s="74"/>
      <c r="G60" s="74"/>
      <c r="H60" s="74"/>
    </row>
    <row r="61" spans="1:8">
      <c r="C61" s="74"/>
      <c r="D61" s="74"/>
      <c r="E61" s="74"/>
      <c r="F61" s="74"/>
      <c r="G61" s="74"/>
      <c r="H61" s="74"/>
    </row>
    <row r="62" spans="1:8">
      <c r="C62" s="74"/>
      <c r="D62" s="74"/>
      <c r="E62" s="74"/>
      <c r="F62" s="74"/>
      <c r="G62" s="74"/>
      <c r="H62" s="74"/>
    </row>
    <row r="63" spans="1:8">
      <c r="C63" s="74"/>
      <c r="D63" s="74"/>
      <c r="E63" s="74"/>
      <c r="F63" s="74"/>
      <c r="G63" s="74"/>
      <c r="H63" s="74"/>
    </row>
    <row r="64" spans="1:8">
      <c r="C64" s="74"/>
      <c r="D64" s="74"/>
      <c r="E64" s="74"/>
      <c r="F64" s="74"/>
      <c r="G64" s="74"/>
      <c r="H64" s="74"/>
    </row>
    <row r="65" spans="3:8">
      <c r="C65" s="74"/>
      <c r="D65" s="74"/>
      <c r="E65" s="74"/>
      <c r="F65" s="74"/>
      <c r="G65" s="74"/>
      <c r="H65" s="74"/>
    </row>
    <row r="66" spans="3:8">
      <c r="C66" s="74"/>
      <c r="D66" s="74"/>
      <c r="E66" s="74"/>
      <c r="F66" s="74"/>
      <c r="G66" s="74"/>
      <c r="H66" s="74"/>
    </row>
    <row r="67" spans="3:8">
      <c r="C67" s="74"/>
      <c r="D67" s="74"/>
      <c r="E67" s="74"/>
      <c r="F67" s="74"/>
      <c r="G67" s="74"/>
      <c r="H67" s="74"/>
    </row>
    <row r="68" spans="3:8">
      <c r="C68" s="2"/>
      <c r="D68" s="2"/>
      <c r="E68" s="2"/>
      <c r="F68" s="2"/>
      <c r="G68" s="2"/>
      <c r="H68" s="2"/>
    </row>
    <row r="69" spans="3:8">
      <c r="C69" s="2"/>
      <c r="D69" s="2"/>
      <c r="E69" s="2"/>
      <c r="F69" s="2"/>
      <c r="G69" s="2"/>
      <c r="H69" s="2"/>
    </row>
    <row r="70" spans="3:8">
      <c r="C70" s="1"/>
      <c r="D70" s="1"/>
      <c r="E70" s="1"/>
      <c r="F70" s="1"/>
      <c r="G70" s="1"/>
      <c r="H70" s="1"/>
    </row>
    <row r="71" spans="3:8">
      <c r="C71" s="2"/>
      <c r="D71" s="2"/>
      <c r="E71" s="2"/>
      <c r="F71" s="2"/>
      <c r="G71" s="2"/>
      <c r="H71" s="2"/>
    </row>
    <row r="72" spans="3:8">
      <c r="C72" s="2"/>
      <c r="D72" s="2"/>
      <c r="E72" s="2"/>
      <c r="F72" s="2"/>
      <c r="G72" s="2"/>
      <c r="H72" s="2"/>
    </row>
    <row r="73" spans="3:8">
      <c r="C73" s="2"/>
      <c r="D73" s="2"/>
      <c r="E73" s="2"/>
      <c r="F73" s="2"/>
      <c r="G73" s="2"/>
      <c r="H73" s="2"/>
    </row>
    <row r="74" spans="3:8">
      <c r="C74" s="1"/>
      <c r="D74" s="1"/>
      <c r="E74" s="1"/>
      <c r="F74" s="1"/>
      <c r="G74" s="1"/>
      <c r="H74" s="1"/>
    </row>
    <row r="75" spans="3:8">
      <c r="C75" s="2"/>
      <c r="D75" s="2"/>
      <c r="E75" s="2"/>
      <c r="F75" s="2"/>
      <c r="G75" s="2"/>
      <c r="H75" s="2"/>
    </row>
    <row r="76" spans="3:8">
      <c r="C76" s="2"/>
      <c r="D76" s="2"/>
      <c r="E76" s="2"/>
      <c r="F76" s="2"/>
      <c r="G76" s="2"/>
      <c r="H76" s="2"/>
    </row>
    <row r="77" spans="3:8">
      <c r="C77" s="1"/>
      <c r="D77" s="1"/>
      <c r="E77" s="1"/>
      <c r="F77" s="1"/>
      <c r="G77" s="1"/>
      <c r="H77" s="1"/>
    </row>
    <row r="78" spans="3:8">
      <c r="C78" s="2"/>
      <c r="D78" s="2"/>
      <c r="E78" s="2"/>
      <c r="F78" s="2"/>
      <c r="G78" s="2"/>
      <c r="H78" s="2"/>
    </row>
    <row r="79" spans="3:8">
      <c r="C79" s="1"/>
      <c r="D79" s="1"/>
      <c r="E79" s="1"/>
      <c r="F79" s="1"/>
      <c r="G79" s="1"/>
      <c r="H79" s="1"/>
    </row>
    <row r="80" spans="3:8">
      <c r="C80" s="2"/>
      <c r="D80" s="2"/>
      <c r="E80" s="2"/>
      <c r="F80" s="2"/>
      <c r="G80" s="2"/>
      <c r="H80" s="2"/>
    </row>
    <row r="81" spans="3:8">
      <c r="C81" s="2"/>
      <c r="D81" s="2"/>
      <c r="E81" s="2"/>
      <c r="F81" s="2"/>
      <c r="G81" s="2"/>
      <c r="H81" s="2"/>
    </row>
  </sheetData>
  <mergeCells count="9">
    <mergeCell ref="A55:B55"/>
    <mergeCell ref="A56:H56"/>
    <mergeCell ref="A2:H2"/>
    <mergeCell ref="A3:H3"/>
    <mergeCell ref="A4:H4"/>
    <mergeCell ref="A6:A7"/>
    <mergeCell ref="B6:B7"/>
    <mergeCell ref="C6:F6"/>
    <mergeCell ref="G6:H6"/>
  </mergeCells>
  <printOptions horizontalCentered="1"/>
  <pageMargins left="0.70866141732283472" right="0.70866141732283472" top="0.74803149606299213" bottom="0.74803149606299213" header="0.31496062992125984" footer="0.31496062992125984"/>
  <pageSetup paperSize="8" scale="88" fitToHeight="3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 tint="-0.14999847407452621"/>
    <pageSetUpPr fitToPage="1"/>
  </sheetPr>
  <dimension ref="A1:P141"/>
  <sheetViews>
    <sheetView tabSelected="1" zoomScaleNormal="100" zoomScaleSheetLayoutView="70" workbookViewId="0">
      <pane xSplit="1" ySplit="8" topLeftCell="D9" activePane="bottomRight" state="frozen"/>
      <selection activeCell="C5" sqref="C5:C7"/>
      <selection pane="topRight" activeCell="C5" sqref="C5:C7"/>
      <selection pane="bottomLeft" activeCell="C5" sqref="C5:C7"/>
      <selection pane="bottomRight" activeCell="O15" sqref="O15"/>
    </sheetView>
  </sheetViews>
  <sheetFormatPr defaultRowHeight="12.75"/>
  <cols>
    <col min="1" max="1" width="14.140625" style="4" customWidth="1"/>
    <col min="2" max="2" width="6.28515625" style="23" customWidth="1"/>
    <col min="3" max="3" width="39" style="23" customWidth="1"/>
    <col min="4" max="6" width="18" style="24" customWidth="1"/>
    <col min="7" max="7" width="26.28515625" style="24" bestFit="1" customWidth="1"/>
    <col min="8" max="9" width="18" style="24" customWidth="1"/>
    <col min="10" max="10" width="18" style="4" customWidth="1"/>
    <col min="11" max="13" width="19" style="4" customWidth="1"/>
    <col min="14" max="14" width="9.140625" style="4"/>
    <col min="15" max="15" width="17.5703125" style="4" customWidth="1"/>
    <col min="16" max="16384" width="9.140625" style="4"/>
  </cols>
  <sheetData>
    <row r="1" spans="1:16" ht="18">
      <c r="L1" s="43" t="s">
        <v>327</v>
      </c>
      <c r="M1" s="43" t="s">
        <v>399</v>
      </c>
    </row>
    <row r="2" spans="1:16" ht="18">
      <c r="A2" s="119" t="s">
        <v>225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</row>
    <row r="3" spans="1:16" s="27" customFormat="1" ht="15.75">
      <c r="A3" s="120" t="s">
        <v>228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16" ht="15.75">
      <c r="A4" s="120" t="s">
        <v>410</v>
      </c>
      <c r="B4" s="120"/>
      <c r="C4" s="120"/>
      <c r="D4" s="120"/>
      <c r="E4" s="120"/>
      <c r="F4" s="120"/>
      <c r="G4" s="120"/>
      <c r="H4" s="120"/>
      <c r="I4" s="120"/>
      <c r="J4" s="120"/>
      <c r="K4" s="120"/>
      <c r="L4" s="120"/>
      <c r="M4" s="120"/>
    </row>
    <row r="5" spans="1:16">
      <c r="J5" s="4" t="s">
        <v>327</v>
      </c>
    </row>
    <row r="6" spans="1:16" ht="45" customHeight="1">
      <c r="A6" s="140" t="s">
        <v>3</v>
      </c>
      <c r="B6" s="140"/>
      <c r="C6" s="140"/>
      <c r="D6" s="142" t="s">
        <v>391</v>
      </c>
      <c r="E6" s="143"/>
      <c r="F6" s="143"/>
      <c r="G6" s="143"/>
      <c r="H6" s="143"/>
      <c r="I6" s="143"/>
      <c r="J6" s="144"/>
      <c r="K6" s="145" t="s">
        <v>303</v>
      </c>
      <c r="L6" s="145"/>
      <c r="M6" s="145"/>
    </row>
    <row r="7" spans="1:16">
      <c r="A7" s="140"/>
      <c r="B7" s="140"/>
      <c r="C7" s="140"/>
      <c r="D7" s="146" t="s">
        <v>331</v>
      </c>
      <c r="E7" s="147"/>
      <c r="F7" s="148"/>
      <c r="G7" s="146" t="s">
        <v>333</v>
      </c>
      <c r="H7" s="148"/>
      <c r="I7" s="142" t="s">
        <v>390</v>
      </c>
      <c r="J7" s="144"/>
      <c r="K7" s="149" t="s">
        <v>304</v>
      </c>
      <c r="L7" s="149" t="s">
        <v>302</v>
      </c>
      <c r="M7" s="149" t="s">
        <v>332</v>
      </c>
    </row>
    <row r="8" spans="1:16" s="28" customFormat="1" ht="106.5" customHeight="1" thickBot="1">
      <c r="A8" s="141"/>
      <c r="B8" s="141"/>
      <c r="C8" s="141"/>
      <c r="D8" s="25" t="s">
        <v>394</v>
      </c>
      <c r="E8" s="25" t="s">
        <v>301</v>
      </c>
      <c r="F8" s="25" t="s">
        <v>395</v>
      </c>
      <c r="G8" s="25" t="s">
        <v>394</v>
      </c>
      <c r="H8" s="25" t="s">
        <v>396</v>
      </c>
      <c r="I8" s="25" t="s">
        <v>397</v>
      </c>
      <c r="J8" s="26" t="s">
        <v>301</v>
      </c>
      <c r="K8" s="150"/>
      <c r="L8" s="150"/>
      <c r="M8" s="150"/>
    </row>
    <row r="9" spans="1:16" ht="13.5" thickTop="1">
      <c r="A9" s="151" t="s">
        <v>162</v>
      </c>
      <c r="B9" s="100" t="s">
        <v>163</v>
      </c>
      <c r="C9" s="101" t="s">
        <v>2</v>
      </c>
      <c r="D9" s="81">
        <v>0.58640000000000003</v>
      </c>
      <c r="E9" s="81"/>
      <c r="F9" s="82">
        <v>1</v>
      </c>
      <c r="G9" s="81">
        <v>0.57850000000000001</v>
      </c>
      <c r="H9" s="81">
        <v>0</v>
      </c>
      <c r="I9" s="81">
        <v>0.58340000000000003</v>
      </c>
      <c r="J9" s="83"/>
      <c r="K9" s="38">
        <f>AVERAGE(14398045.12,14181392.72,(14561945.65+155950.26))/AVERAGE(26636712.76,26172892.73,(26911361.42+211266.57))</f>
        <v>0.54167551518291446</v>
      </c>
      <c r="L9" s="38">
        <f>AVERAGE(121400,193350.58,155950.26)/AVERAGE(352793.24,673520.15,211266.57)</f>
        <v>0.38033973982578062</v>
      </c>
      <c r="M9" s="38">
        <v>0.9708</v>
      </c>
      <c r="O9" s="24" t="s">
        <v>327</v>
      </c>
      <c r="P9" s="4" t="s">
        <v>327</v>
      </c>
    </row>
    <row r="10" spans="1:16">
      <c r="A10" s="139"/>
      <c r="B10" s="102" t="s">
        <v>164</v>
      </c>
      <c r="C10" s="66" t="s">
        <v>4</v>
      </c>
      <c r="D10" s="38">
        <v>1.1000000000000001E-3</v>
      </c>
      <c r="E10" s="38"/>
      <c r="F10" s="38">
        <v>1</v>
      </c>
      <c r="G10" s="38">
        <v>1E-3</v>
      </c>
      <c r="H10" s="38"/>
      <c r="I10" s="38">
        <v>1E-3</v>
      </c>
      <c r="J10" s="77"/>
      <c r="K10" s="38">
        <v>1.1999999999999999E-3</v>
      </c>
      <c r="L10" s="38">
        <f>AVERAGE(0,0,0)/AVERAGE(352793.24,673520.15,211266.57)</f>
        <v>0</v>
      </c>
      <c r="M10" s="38">
        <v>0.93930000000000002</v>
      </c>
      <c r="O10" s="4" t="s">
        <v>327</v>
      </c>
    </row>
    <row r="11" spans="1:16" ht="25.5">
      <c r="A11" s="139"/>
      <c r="B11" s="102" t="s">
        <v>165</v>
      </c>
      <c r="C11" s="66" t="s">
        <v>5</v>
      </c>
      <c r="D11" s="38">
        <v>9.2700000000000005E-2</v>
      </c>
      <c r="E11" s="38">
        <v>0.68020000000000003</v>
      </c>
      <c r="F11" s="38">
        <v>1</v>
      </c>
      <c r="G11" s="38">
        <v>9.4E-2</v>
      </c>
      <c r="H11" s="38">
        <v>0</v>
      </c>
      <c r="I11" s="38">
        <v>9.4799999999999995E-2</v>
      </c>
      <c r="J11" s="38">
        <v>0</v>
      </c>
      <c r="K11" s="38">
        <f>AVERAGE(2471207.81,2471427.87,2236372.51)/AVERAGE(26636712.76,(26172892.73),(26911361.42+211266.57))</f>
        <v>8.9813681883370286E-2</v>
      </c>
      <c r="L11" s="38">
        <f>AVERAGE(5185.9,18342.68,16462.77)/AVERAGE(352793.24,673520.15,211266.57)</f>
        <v>3.2314154472895644E-2</v>
      </c>
      <c r="M11" s="38">
        <v>0.83530000000000004</v>
      </c>
    </row>
    <row r="12" spans="1:16" ht="25.5">
      <c r="A12" s="139"/>
      <c r="B12" s="102" t="s">
        <v>166</v>
      </c>
      <c r="C12" s="66" t="s">
        <v>6</v>
      </c>
      <c r="D12" s="38"/>
      <c r="E12" s="38"/>
      <c r="F12" s="38"/>
      <c r="G12" s="38"/>
      <c r="H12" s="38"/>
      <c r="I12" s="38"/>
      <c r="J12" s="77"/>
      <c r="K12" s="30"/>
      <c r="L12" s="30"/>
      <c r="M12" s="30"/>
    </row>
    <row r="13" spans="1:16">
      <c r="A13" s="139"/>
      <c r="B13" s="102" t="s">
        <v>167</v>
      </c>
      <c r="C13" s="66" t="s">
        <v>7</v>
      </c>
      <c r="D13" s="38">
        <v>8.0000000000000002E-3</v>
      </c>
      <c r="E13" s="38"/>
      <c r="F13" s="38">
        <v>1</v>
      </c>
      <c r="G13" s="38">
        <v>8.6E-3</v>
      </c>
      <c r="H13" s="38"/>
      <c r="I13" s="38">
        <v>8.6999999999999994E-3</v>
      </c>
      <c r="J13" s="77"/>
      <c r="K13" s="38">
        <f>AVERAGE(229733.81,230651.43,668826.7)/AVERAGE(26636712.76,(26172892.73),(26911361.42+211266.57))</f>
        <v>1.4127116068670122E-2</v>
      </c>
      <c r="L13" s="38">
        <f>AVERAGE(0,0,2261.9)/AVERAGE(352793.24,673520.15,211266.57)</f>
        <v>1.827679885831377E-3</v>
      </c>
      <c r="M13" s="38">
        <v>0.92410000000000003</v>
      </c>
    </row>
    <row r="14" spans="1:16">
      <c r="A14" s="139"/>
      <c r="B14" s="102" t="s">
        <v>168</v>
      </c>
      <c r="C14" s="66" t="s">
        <v>8</v>
      </c>
      <c r="D14" s="38">
        <v>2.63E-2</v>
      </c>
      <c r="E14" s="38" t="s">
        <v>327</v>
      </c>
      <c r="F14" s="38">
        <v>1</v>
      </c>
      <c r="G14" s="38">
        <v>2.23E-2</v>
      </c>
      <c r="H14" s="38">
        <v>0</v>
      </c>
      <c r="I14" s="38">
        <v>1.9800000000000002E-2</v>
      </c>
      <c r="J14" s="38">
        <v>0</v>
      </c>
      <c r="K14" s="38">
        <f>AVERAGE(370002.25,702103.93,435529.64)/AVERAGE(26636712.76,(26172892.73),(26911361.42+211266.57))</f>
        <v>1.8861424914108384E-2</v>
      </c>
      <c r="L14" s="38">
        <f>AVERAGE(1108.49,1545.6,5021.11)/AVERAGE(352793.24,673520.15,211266.57)</f>
        <v>6.2017810954210998E-3</v>
      </c>
      <c r="M14" s="38">
        <v>0.68889999999999996</v>
      </c>
    </row>
    <row r="15" spans="1:16" ht="25.5">
      <c r="A15" s="139"/>
      <c r="B15" s="102" t="s">
        <v>169</v>
      </c>
      <c r="C15" s="66" t="s">
        <v>9</v>
      </c>
      <c r="D15" s="38"/>
      <c r="E15" s="38"/>
      <c r="F15" s="38"/>
      <c r="G15" s="38"/>
      <c r="H15" s="38"/>
      <c r="I15" s="38"/>
      <c r="J15" s="77"/>
      <c r="K15" s="30"/>
      <c r="L15" s="30"/>
      <c r="M15" s="30"/>
    </row>
    <row r="16" spans="1:16">
      <c r="A16" s="139"/>
      <c r="B16" s="102" t="s">
        <v>170</v>
      </c>
      <c r="C16" s="66" t="s">
        <v>10</v>
      </c>
      <c r="D16" s="38">
        <v>4.5400000000000003E-2</v>
      </c>
      <c r="E16" s="38">
        <v>0.31979999999999997</v>
      </c>
      <c r="F16" s="38">
        <v>1</v>
      </c>
      <c r="G16" s="38">
        <v>4.4999999999999998E-2</v>
      </c>
      <c r="H16" s="38">
        <v>0</v>
      </c>
      <c r="I16" s="38">
        <v>4.6300000000000001E-2</v>
      </c>
      <c r="J16" s="38">
        <v>0</v>
      </c>
      <c r="K16" s="38">
        <f>AVERAGE(1794509.69,1643642.15,1419571.02)/AVERAGE(26636712.76,(26172892.73),(26911361.42+211266.57))</f>
        <v>6.0773015447084432E-2</v>
      </c>
      <c r="L16" s="38">
        <f>AVERAGE(208619.71,433561.4,26325.55)/AVERAGE(352793.24,673520.15,211266.57)</f>
        <v>0.5401724992379483</v>
      </c>
      <c r="M16" s="38">
        <v>0.747</v>
      </c>
    </row>
    <row r="17" spans="1:13" ht="25.5">
      <c r="A17" s="139"/>
      <c r="B17" s="102" t="s">
        <v>171</v>
      </c>
      <c r="C17" s="66" t="s">
        <v>11</v>
      </c>
      <c r="D17" s="38"/>
      <c r="E17" s="38"/>
      <c r="F17" s="38"/>
      <c r="G17" s="38"/>
      <c r="H17" s="38"/>
      <c r="I17" s="38"/>
      <c r="J17" s="77"/>
      <c r="K17" s="30"/>
      <c r="L17" s="30"/>
      <c r="M17" s="30"/>
    </row>
    <row r="18" spans="1:13">
      <c r="A18" s="139"/>
      <c r="B18" s="102" t="s">
        <v>172</v>
      </c>
      <c r="C18" s="66" t="s">
        <v>12</v>
      </c>
      <c r="D18" s="38">
        <v>8.3000000000000001E-3</v>
      </c>
      <c r="E18" s="38">
        <v>0</v>
      </c>
      <c r="F18" s="38">
        <v>1</v>
      </c>
      <c r="G18" s="38">
        <v>8.6E-3</v>
      </c>
      <c r="H18" s="38">
        <v>0</v>
      </c>
      <c r="I18" s="38">
        <v>8.5000000000000006E-3</v>
      </c>
      <c r="J18" s="77"/>
      <c r="K18" s="38">
        <f>AVERAGE(190699.18,160494.9,72770.8)/AVERAGE(26636712.76,(26172892.73),(26911361.42+211266.57))</f>
        <v>5.3040539659895908E-3</v>
      </c>
      <c r="L18" s="38">
        <v>8.9999999999999998E-4</v>
      </c>
      <c r="M18" s="38">
        <v>0.69010000000000005</v>
      </c>
    </row>
    <row r="19" spans="1:13">
      <c r="A19" s="139"/>
      <c r="B19" s="102" t="s">
        <v>173</v>
      </c>
      <c r="C19" s="66" t="s">
        <v>13</v>
      </c>
      <c r="D19" s="38">
        <v>1.2999999999999999E-3</v>
      </c>
      <c r="E19" s="38"/>
      <c r="F19" s="38">
        <v>1</v>
      </c>
      <c r="G19" s="38">
        <v>1.4E-3</v>
      </c>
      <c r="H19" s="38"/>
      <c r="I19" s="38">
        <v>1.4E-3</v>
      </c>
      <c r="J19" s="77"/>
      <c r="K19" s="38">
        <f>AVERAGE(26582.35,11497.1,275109.98)/AVERAGE(26636712.76,(26172892.73),(26911361.42+211266.57))</f>
        <v>3.9181868986353759E-3</v>
      </c>
      <c r="L19" s="38">
        <v>0</v>
      </c>
      <c r="M19" s="38">
        <v>0.77180000000000004</v>
      </c>
    </row>
    <row r="20" spans="1:13" ht="25.5">
      <c r="A20" s="139"/>
      <c r="B20" s="102" t="s">
        <v>174</v>
      </c>
      <c r="C20" s="66" t="s">
        <v>307</v>
      </c>
      <c r="D20" s="38"/>
      <c r="E20" s="38" t="s">
        <v>327</v>
      </c>
      <c r="F20" s="38"/>
      <c r="G20" s="38"/>
      <c r="H20" s="38"/>
      <c r="I20" s="38"/>
      <c r="J20" s="77"/>
      <c r="K20" s="30"/>
      <c r="L20" s="30"/>
      <c r="M20" s="30"/>
    </row>
    <row r="21" spans="1:13" ht="45" customHeight="1" thickBot="1">
      <c r="A21" s="152"/>
      <c r="B21" s="153" t="s">
        <v>196</v>
      </c>
      <c r="C21" s="154"/>
      <c r="D21" s="84">
        <v>0.76949999999999996</v>
      </c>
      <c r="E21" s="85">
        <v>1</v>
      </c>
      <c r="F21" s="85">
        <v>1</v>
      </c>
      <c r="G21" s="85">
        <v>0.75939999999999996</v>
      </c>
      <c r="H21" s="85">
        <v>0</v>
      </c>
      <c r="I21" s="85">
        <v>0.76390000000000002</v>
      </c>
      <c r="J21" s="85">
        <v>0</v>
      </c>
      <c r="K21" s="36">
        <f>AVERAGE(19507332.17,19433163.35,19867933.41)/AVERAGE(26636712.76,(26172892.73),(26911361.42+211266.57))</f>
        <v>0.73572858369727112</v>
      </c>
      <c r="L21" s="36">
        <f>AVERAGE(336314.1,647839.72,206021.59)/AVERAGE(352793.24,673520.15,211266.57)</f>
        <v>0.96169576792436107</v>
      </c>
      <c r="M21" s="36">
        <v>0.91900000000000004</v>
      </c>
    </row>
    <row r="22" spans="1:13" ht="13.5" thickTop="1">
      <c r="A22" s="155" t="s">
        <v>175</v>
      </c>
      <c r="B22" s="103" t="s">
        <v>163</v>
      </c>
      <c r="C22" s="104" t="s">
        <v>14</v>
      </c>
      <c r="D22" s="86"/>
      <c r="E22" s="87"/>
      <c r="F22" s="87"/>
      <c r="G22" s="87"/>
      <c r="H22" s="87"/>
      <c r="I22" s="87"/>
      <c r="J22" s="88"/>
      <c r="K22" s="32"/>
      <c r="L22" s="32"/>
      <c r="M22" s="32"/>
    </row>
    <row r="23" spans="1:13">
      <c r="A23" s="156"/>
      <c r="B23" s="102" t="s">
        <v>164</v>
      </c>
      <c r="C23" s="66" t="s">
        <v>15</v>
      </c>
      <c r="D23" s="38"/>
      <c r="E23" s="38"/>
      <c r="F23" s="38"/>
      <c r="G23" s="38"/>
      <c r="H23" s="38"/>
      <c r="I23" s="38"/>
      <c r="J23" s="77"/>
      <c r="K23" s="30"/>
      <c r="L23" s="30"/>
      <c r="M23" s="30"/>
    </row>
    <row r="24" spans="1:13">
      <c r="A24" s="157"/>
      <c r="B24" s="102" t="s">
        <v>165</v>
      </c>
      <c r="C24" s="66" t="s">
        <v>308</v>
      </c>
      <c r="D24" s="38"/>
      <c r="E24" s="89"/>
      <c r="F24" s="89"/>
      <c r="G24" s="89"/>
      <c r="H24" s="89"/>
      <c r="I24" s="89"/>
      <c r="J24" s="90"/>
      <c r="K24" s="33"/>
      <c r="L24" s="33"/>
      <c r="M24" s="33"/>
    </row>
    <row r="25" spans="1:13" ht="23.25" customHeight="1" thickBot="1">
      <c r="A25" s="158"/>
      <c r="B25" s="159" t="s">
        <v>176</v>
      </c>
      <c r="C25" s="160"/>
      <c r="D25" s="91"/>
      <c r="E25" s="34" t="s">
        <v>327</v>
      </c>
      <c r="F25" s="92"/>
      <c r="G25" s="92"/>
      <c r="H25" s="92"/>
      <c r="I25" s="92"/>
      <c r="J25" s="93"/>
      <c r="K25" s="35"/>
      <c r="L25" s="35"/>
      <c r="M25" s="35"/>
    </row>
    <row r="26" spans="1:13" ht="15.75" thickTop="1">
      <c r="A26" s="161" t="s">
        <v>177</v>
      </c>
      <c r="B26" s="103" t="s">
        <v>163</v>
      </c>
      <c r="C26" s="104" t="s">
        <v>16</v>
      </c>
      <c r="D26" s="86"/>
      <c r="E26" s="87"/>
      <c r="F26" s="87"/>
      <c r="G26" s="87"/>
      <c r="H26" s="87"/>
      <c r="I26" s="87"/>
      <c r="J26" s="88"/>
      <c r="K26" s="36"/>
      <c r="L26" s="36"/>
      <c r="M26" s="36"/>
    </row>
    <row r="27" spans="1:13" ht="15">
      <c r="A27" s="139"/>
      <c r="B27" s="102" t="s">
        <v>164</v>
      </c>
      <c r="C27" s="66" t="s">
        <v>17</v>
      </c>
      <c r="D27" s="38"/>
      <c r="E27" s="38"/>
      <c r="F27" s="38"/>
      <c r="G27" s="38"/>
      <c r="H27" s="38"/>
      <c r="I27" s="38"/>
      <c r="J27" s="77"/>
      <c r="K27" s="36">
        <f>AVERAGE(0,0,422338.94)/AVERAGE(26636712.76,(26172892.73),(26911361.42+211266.57))</f>
        <v>5.2837124850974452E-3</v>
      </c>
      <c r="L27" s="36">
        <f>AVERAGE(0,0,0)/AVERAGE(352793.24,673520.15,211266.57)</f>
        <v>0</v>
      </c>
      <c r="M27" s="36">
        <f>AVERAGE(0,0,422338.94)/AVERAGE(0,0,422338.94)</f>
        <v>1</v>
      </c>
    </row>
    <row r="28" spans="1:13">
      <c r="A28" s="139"/>
      <c r="B28" s="102" t="s">
        <v>165</v>
      </c>
      <c r="C28" s="66" t="s">
        <v>308</v>
      </c>
      <c r="D28" s="38"/>
      <c r="E28" s="38"/>
      <c r="F28" s="38"/>
      <c r="G28" s="38"/>
      <c r="H28" s="38"/>
      <c r="I28" s="38"/>
      <c r="J28" s="77"/>
      <c r="K28" s="30"/>
      <c r="L28" s="30"/>
      <c r="M28" s="30"/>
    </row>
    <row r="29" spans="1:13" ht="34.5" customHeight="1" thickBot="1">
      <c r="A29" s="152"/>
      <c r="B29" s="162" t="s">
        <v>178</v>
      </c>
      <c r="C29" s="162"/>
      <c r="D29" s="85"/>
      <c r="E29" s="85" t="s">
        <v>327</v>
      </c>
      <c r="F29" s="85"/>
      <c r="G29" s="85"/>
      <c r="H29" s="85"/>
      <c r="I29" s="85"/>
      <c r="J29" s="94"/>
      <c r="K29" s="79">
        <f>SUM(K26:K28)</f>
        <v>5.2837124850974452E-3</v>
      </c>
      <c r="L29" s="79">
        <f t="shared" ref="L29:M29" si="0">SUM(L26:L28)</f>
        <v>0</v>
      </c>
      <c r="M29" s="79">
        <f t="shared" si="0"/>
        <v>1</v>
      </c>
    </row>
    <row r="30" spans="1:13" ht="13.5" thickTop="1">
      <c r="A30" s="161" t="s">
        <v>184</v>
      </c>
      <c r="B30" s="103" t="s">
        <v>163</v>
      </c>
      <c r="C30" s="104" t="s">
        <v>18</v>
      </c>
      <c r="D30" s="86"/>
      <c r="E30" s="86"/>
      <c r="F30" s="86"/>
      <c r="G30" s="86"/>
      <c r="H30" s="86"/>
      <c r="I30" s="86"/>
      <c r="J30" s="95"/>
      <c r="K30" s="32"/>
      <c r="L30" s="32"/>
      <c r="M30" s="32"/>
    </row>
    <row r="31" spans="1:13">
      <c r="A31" s="139"/>
      <c r="B31" s="102" t="s">
        <v>164</v>
      </c>
      <c r="C31" s="66" t="s">
        <v>19</v>
      </c>
      <c r="D31" s="38"/>
      <c r="E31" s="38"/>
      <c r="F31" s="38"/>
      <c r="G31" s="38"/>
      <c r="H31" s="38"/>
      <c r="I31" s="38"/>
      <c r="J31" s="77"/>
      <c r="K31" s="30"/>
      <c r="L31" s="30"/>
      <c r="M31" s="30"/>
    </row>
    <row r="32" spans="1:13">
      <c r="A32" s="139"/>
      <c r="B32" s="102" t="s">
        <v>165</v>
      </c>
      <c r="C32" s="66" t="s">
        <v>309</v>
      </c>
      <c r="D32" s="38"/>
      <c r="E32" s="38"/>
      <c r="F32" s="38"/>
      <c r="G32" s="38"/>
      <c r="H32" s="38"/>
      <c r="I32" s="38"/>
      <c r="J32" s="77"/>
      <c r="K32" s="30"/>
      <c r="L32" s="30"/>
      <c r="M32" s="30"/>
    </row>
    <row r="33" spans="1:14">
      <c r="A33" s="139"/>
      <c r="B33" s="102" t="s">
        <v>166</v>
      </c>
      <c r="C33" s="66" t="s">
        <v>20</v>
      </c>
      <c r="D33" s="38"/>
      <c r="E33" s="38"/>
      <c r="F33" s="38"/>
      <c r="G33" s="38"/>
      <c r="H33" s="38"/>
      <c r="I33" s="38"/>
      <c r="J33" s="77"/>
      <c r="K33" s="30"/>
      <c r="L33" s="30"/>
      <c r="M33" s="30"/>
    </row>
    <row r="34" spans="1:14">
      <c r="A34" s="139"/>
      <c r="B34" s="102" t="s">
        <v>167</v>
      </c>
      <c r="C34" s="66" t="s">
        <v>21</v>
      </c>
      <c r="D34" s="38"/>
      <c r="E34" s="38"/>
      <c r="F34" s="38"/>
      <c r="G34" s="38"/>
      <c r="H34" s="38"/>
      <c r="I34" s="38"/>
      <c r="J34" s="77"/>
      <c r="K34" s="30"/>
      <c r="L34" s="30"/>
      <c r="M34" s="30"/>
    </row>
    <row r="35" spans="1:14">
      <c r="A35" s="139"/>
      <c r="B35" s="102" t="s">
        <v>168</v>
      </c>
      <c r="C35" s="66" t="s">
        <v>22</v>
      </c>
      <c r="D35" s="38"/>
      <c r="E35" s="38"/>
      <c r="F35" s="38"/>
      <c r="G35" s="38"/>
      <c r="H35" s="38"/>
      <c r="I35" s="38"/>
      <c r="J35" s="77"/>
      <c r="K35" s="30"/>
      <c r="L35" s="30"/>
      <c r="M35" s="30"/>
    </row>
    <row r="36" spans="1:14">
      <c r="A36" s="139"/>
      <c r="B36" s="102" t="s">
        <v>169</v>
      </c>
      <c r="C36" s="66" t="s">
        <v>23</v>
      </c>
      <c r="D36" s="38"/>
      <c r="E36" s="38"/>
      <c r="F36" s="38"/>
      <c r="G36" s="38"/>
      <c r="H36" s="38"/>
      <c r="I36" s="38"/>
      <c r="J36" s="77"/>
      <c r="K36" s="30"/>
      <c r="L36" s="30"/>
      <c r="M36" s="30"/>
    </row>
    <row r="37" spans="1:14" ht="25.5">
      <c r="A37" s="139"/>
      <c r="B37" s="102" t="s">
        <v>182</v>
      </c>
      <c r="C37" s="66" t="s">
        <v>310</v>
      </c>
      <c r="D37" s="38"/>
      <c r="E37" s="38"/>
      <c r="F37" s="38"/>
      <c r="G37" s="38"/>
      <c r="H37" s="38"/>
      <c r="I37" s="38"/>
      <c r="J37" s="77"/>
      <c r="K37" s="30"/>
      <c r="L37" s="30"/>
      <c r="M37" s="30"/>
    </row>
    <row r="38" spans="1:14" ht="39" customHeight="1" thickBot="1">
      <c r="A38" s="152"/>
      <c r="B38" s="162" t="s">
        <v>183</v>
      </c>
      <c r="C38" s="162"/>
      <c r="D38" s="85"/>
      <c r="E38" s="92" t="s">
        <v>327</v>
      </c>
      <c r="F38" s="96"/>
      <c r="G38" s="96"/>
      <c r="H38" s="96"/>
      <c r="I38" s="96"/>
      <c r="J38" s="97"/>
      <c r="K38" s="35"/>
      <c r="L38" s="35"/>
      <c r="M38" s="35"/>
    </row>
    <row r="39" spans="1:14" ht="13.5" thickTop="1">
      <c r="A39" s="161" t="s">
        <v>232</v>
      </c>
      <c r="B39" s="103" t="s">
        <v>163</v>
      </c>
      <c r="C39" s="104" t="s">
        <v>24</v>
      </c>
      <c r="D39" s="86">
        <v>3.3E-3</v>
      </c>
      <c r="E39" s="86" t="s">
        <v>327</v>
      </c>
      <c r="F39" s="86">
        <v>1</v>
      </c>
      <c r="G39" s="86">
        <v>3.5999999999999999E-3</v>
      </c>
      <c r="H39" s="86"/>
      <c r="I39" s="86">
        <v>3.5999999999999999E-3</v>
      </c>
      <c r="J39" s="95"/>
      <c r="K39" s="38">
        <f>AVERAGE(144950.39,941100,990000)/AVERAGE(26636712.76,26172892.73,(26911361.42+211266.57))</f>
        <v>2.5972630810065539E-2</v>
      </c>
      <c r="L39" s="38">
        <f>AVERAGE(0,4100,0)/AVERAGE(352793.24,673520.15,211266.57)</f>
        <v>3.3129172518275105E-3</v>
      </c>
      <c r="M39" s="38">
        <f>AVERAGE(161450.39,1910500,0)/AVERAGE(144950.39,953500,(990000+990000))</f>
        <v>0.6730497904824122</v>
      </c>
    </row>
    <row r="40" spans="1:14" ht="25.5">
      <c r="A40" s="139"/>
      <c r="B40" s="102" t="s">
        <v>164</v>
      </c>
      <c r="C40" s="66" t="s">
        <v>25</v>
      </c>
      <c r="D40" s="38">
        <v>4.3799999999999999E-2</v>
      </c>
      <c r="E40" s="38" t="s">
        <v>327</v>
      </c>
      <c r="F40" s="38">
        <v>1</v>
      </c>
      <c r="G40" s="38">
        <v>5.21E-2</v>
      </c>
      <c r="H40" s="38">
        <v>0</v>
      </c>
      <c r="I40" s="38">
        <v>4.7E-2</v>
      </c>
      <c r="J40" s="38">
        <v>0</v>
      </c>
      <c r="K40" s="38">
        <f>AVERAGE(1383982.93,1163167.43,898330.55)/AVERAGE(26636712.76,26172892.73,(26911361.42+211266.57))</f>
        <v>4.3105024844102481E-2</v>
      </c>
      <c r="L40" s="38">
        <v>3.1E-2</v>
      </c>
      <c r="M40" s="38">
        <v>0.84640000000000004</v>
      </c>
    </row>
    <row r="41" spans="1:14" ht="25.5">
      <c r="A41" s="139"/>
      <c r="B41" s="102" t="s">
        <v>165</v>
      </c>
      <c r="C41" s="66" t="s">
        <v>311</v>
      </c>
      <c r="D41" s="38"/>
      <c r="E41" s="38"/>
      <c r="F41" s="38"/>
      <c r="G41" s="38"/>
      <c r="H41" s="38"/>
      <c r="I41" s="38"/>
      <c r="J41" s="38"/>
      <c r="K41" s="30"/>
      <c r="L41" s="30"/>
      <c r="M41" s="30"/>
    </row>
    <row r="42" spans="1:14" ht="49.5" customHeight="1" thickBot="1">
      <c r="A42" s="152"/>
      <c r="B42" s="162" t="s">
        <v>179</v>
      </c>
      <c r="C42" s="162"/>
      <c r="D42" s="85">
        <v>4.7100000000000003E-2</v>
      </c>
      <c r="E42" s="85" t="s">
        <v>327</v>
      </c>
      <c r="F42" s="85">
        <v>1</v>
      </c>
      <c r="G42" s="85">
        <v>5.57E-2</v>
      </c>
      <c r="H42" s="85"/>
      <c r="I42" s="85">
        <v>5.0599999999999999E-2</v>
      </c>
      <c r="J42" s="38">
        <v>0</v>
      </c>
      <c r="K42" s="36">
        <f>AVERAGE(1528933.32,2104267.43,(1888330.55))/AVERAGE(26600484.17,(26172892.73),(26911361.42+211266.57))</f>
        <v>6.9108978698021087E-2</v>
      </c>
      <c r="L42" s="36">
        <f>AVERAGE(16477.31,25678.6,244.98)/AVERAGE(352793.24,673520.15,211266.57)</f>
        <v>3.4261131700936732E-2</v>
      </c>
      <c r="M42" s="36">
        <v>0.77090000000000003</v>
      </c>
    </row>
    <row r="43" spans="1:14" ht="13.5" thickTop="1">
      <c r="A43" s="161" t="s">
        <v>180</v>
      </c>
      <c r="B43" s="103" t="s">
        <v>163</v>
      </c>
      <c r="C43" s="104" t="s">
        <v>26</v>
      </c>
      <c r="D43" s="86"/>
      <c r="E43" s="86"/>
      <c r="F43" s="86"/>
      <c r="G43" s="86"/>
      <c r="H43" s="86"/>
      <c r="I43" s="86"/>
      <c r="J43" s="95"/>
      <c r="K43" s="32"/>
      <c r="L43" s="32"/>
      <c r="M43" s="32"/>
    </row>
    <row r="44" spans="1:14">
      <c r="A44" s="139"/>
      <c r="B44" s="102" t="s">
        <v>164</v>
      </c>
      <c r="C44" s="66" t="s">
        <v>27</v>
      </c>
      <c r="D44" s="38"/>
      <c r="E44" s="38"/>
      <c r="F44" s="38"/>
      <c r="G44" s="38"/>
      <c r="H44" s="38"/>
      <c r="I44" s="38"/>
      <c r="J44" s="77"/>
      <c r="K44" s="30"/>
      <c r="L44" s="30"/>
      <c r="M44" s="30"/>
    </row>
    <row r="45" spans="1:14" ht="25.5">
      <c r="A45" s="139"/>
      <c r="B45" s="102" t="s">
        <v>165</v>
      </c>
      <c r="C45" s="66" t="s">
        <v>312</v>
      </c>
      <c r="D45" s="38"/>
      <c r="E45" s="38"/>
      <c r="F45" s="38"/>
      <c r="G45" s="38"/>
      <c r="H45" s="38"/>
      <c r="I45" s="38"/>
      <c r="J45" s="77"/>
      <c r="K45" s="30"/>
      <c r="L45" s="30"/>
      <c r="M45" s="30"/>
    </row>
    <row r="46" spans="1:14" ht="44.25" customHeight="1" thickBot="1">
      <c r="A46" s="152"/>
      <c r="B46" s="162" t="s">
        <v>181</v>
      </c>
      <c r="C46" s="162"/>
      <c r="D46" s="85"/>
      <c r="E46" s="96" t="s">
        <v>327</v>
      </c>
      <c r="F46" s="96"/>
      <c r="G46" s="96"/>
      <c r="H46" s="96"/>
      <c r="I46" s="96"/>
      <c r="J46" s="97"/>
      <c r="K46" s="35"/>
      <c r="L46" s="35"/>
      <c r="M46" s="35"/>
    </row>
    <row r="47" spans="1:14" ht="15.75" thickTop="1">
      <c r="A47" s="161" t="s">
        <v>185</v>
      </c>
      <c r="B47" s="103" t="s">
        <v>163</v>
      </c>
      <c r="C47" s="104" t="s">
        <v>28</v>
      </c>
      <c r="D47" s="86"/>
      <c r="E47" s="86"/>
      <c r="F47" s="86"/>
      <c r="G47" s="86"/>
      <c r="H47" s="86"/>
      <c r="I47" s="86"/>
      <c r="J47" s="95"/>
      <c r="K47" s="38">
        <f>AVERAGE(329998.02,0,0)/AVERAGE(26636712.76,26172892.73,(26911361.42+211266.57))</f>
        <v>4.1284724025954997E-3</v>
      </c>
      <c r="L47" s="36">
        <v>0</v>
      </c>
      <c r="M47" s="36">
        <v>0.99209999999999998</v>
      </c>
      <c r="N47" s="4" t="s">
        <v>327</v>
      </c>
    </row>
    <row r="48" spans="1:14">
      <c r="A48" s="139"/>
      <c r="B48" s="102" t="s">
        <v>164</v>
      </c>
      <c r="C48" s="66" t="s">
        <v>313</v>
      </c>
      <c r="D48" s="38"/>
      <c r="E48" s="38"/>
      <c r="F48" s="38"/>
      <c r="G48" s="38"/>
      <c r="H48" s="38"/>
      <c r="I48" s="38"/>
      <c r="J48" s="77"/>
      <c r="K48" s="30"/>
      <c r="L48" s="30"/>
      <c r="M48" s="30"/>
    </row>
    <row r="49" spans="1:13" ht="30" customHeight="1" thickBot="1">
      <c r="A49" s="152"/>
      <c r="B49" s="162" t="s">
        <v>186</v>
      </c>
      <c r="C49" s="162"/>
      <c r="D49" s="85"/>
      <c r="E49" s="96" t="s">
        <v>327</v>
      </c>
      <c r="F49" s="96"/>
      <c r="G49" s="96"/>
      <c r="H49" s="96"/>
      <c r="I49" s="96"/>
      <c r="J49" s="97"/>
      <c r="K49" s="38">
        <f>AVERAGE(329998.02,0,0)/AVERAGE(26636712.76,26172892.73,(26911361.42+211266.57))</f>
        <v>4.1284724025954997E-3</v>
      </c>
      <c r="L49" s="36">
        <v>0</v>
      </c>
      <c r="M49" s="36">
        <v>0.99209999999999998</v>
      </c>
    </row>
    <row r="50" spans="1:13" ht="13.5" thickTop="1">
      <c r="A50" s="161" t="s">
        <v>187</v>
      </c>
      <c r="B50" s="103" t="s">
        <v>163</v>
      </c>
      <c r="C50" s="104" t="s">
        <v>29</v>
      </c>
      <c r="D50" s="86"/>
      <c r="E50" s="86"/>
      <c r="F50" s="86"/>
      <c r="G50" s="86"/>
      <c r="H50" s="86"/>
      <c r="I50" s="86"/>
      <c r="J50" s="95"/>
      <c r="K50" s="32"/>
      <c r="L50" s="32"/>
      <c r="M50" s="32"/>
    </row>
    <row r="51" spans="1:13" ht="25.5">
      <c r="A51" s="139"/>
      <c r="B51" s="102" t="s">
        <v>164</v>
      </c>
      <c r="C51" s="66" t="s">
        <v>30</v>
      </c>
      <c r="D51" s="38"/>
      <c r="E51" s="38"/>
      <c r="F51" s="38"/>
      <c r="G51" s="38"/>
      <c r="H51" s="38"/>
      <c r="I51" s="38"/>
      <c r="J51" s="77"/>
      <c r="K51" s="30"/>
      <c r="L51" s="30"/>
      <c r="M51" s="30"/>
    </row>
    <row r="52" spans="1:13" ht="25.5">
      <c r="A52" s="139"/>
      <c r="B52" s="102" t="s">
        <v>165</v>
      </c>
      <c r="C52" s="66" t="s">
        <v>314</v>
      </c>
      <c r="D52" s="38"/>
      <c r="E52" s="38"/>
      <c r="F52" s="38"/>
      <c r="G52" s="38"/>
      <c r="H52" s="38"/>
      <c r="I52" s="38"/>
      <c r="J52" s="77"/>
      <c r="K52" s="30"/>
      <c r="L52" s="30"/>
      <c r="M52" s="30"/>
    </row>
    <row r="53" spans="1:13" ht="41.25" customHeight="1" thickBot="1">
      <c r="A53" s="152"/>
      <c r="B53" s="162" t="s">
        <v>187</v>
      </c>
      <c r="C53" s="162"/>
      <c r="D53" s="85"/>
      <c r="E53" s="92" t="s">
        <v>327</v>
      </c>
      <c r="F53" s="96"/>
      <c r="G53" s="96"/>
      <c r="H53" s="96"/>
      <c r="I53" s="96"/>
      <c r="J53" s="97"/>
      <c r="K53" s="35"/>
      <c r="L53" s="35"/>
      <c r="M53" s="35"/>
    </row>
    <row r="54" spans="1:13" ht="13.5" thickTop="1">
      <c r="A54" s="161" t="s">
        <v>188</v>
      </c>
      <c r="B54" s="103" t="s">
        <v>163</v>
      </c>
      <c r="C54" s="104" t="s">
        <v>31</v>
      </c>
      <c r="D54" s="86"/>
      <c r="E54" s="86"/>
      <c r="F54" s="86"/>
      <c r="G54" s="86"/>
      <c r="H54" s="86"/>
      <c r="I54" s="86"/>
      <c r="J54" s="95"/>
      <c r="K54" s="32"/>
      <c r="L54" s="32"/>
      <c r="M54" s="32"/>
    </row>
    <row r="55" spans="1:13">
      <c r="A55" s="139"/>
      <c r="B55" s="102" t="s">
        <v>164</v>
      </c>
      <c r="C55" s="66" t="s">
        <v>32</v>
      </c>
      <c r="D55" s="38"/>
      <c r="E55" s="38"/>
      <c r="F55" s="38"/>
      <c r="G55" s="38"/>
      <c r="H55" s="38"/>
      <c r="I55" s="38"/>
      <c r="J55" s="77"/>
      <c r="K55" s="30"/>
      <c r="L55" s="30"/>
      <c r="M55" s="30"/>
    </row>
    <row r="56" spans="1:13" ht="15">
      <c r="A56" s="139"/>
      <c r="B56" s="102" t="s">
        <v>165</v>
      </c>
      <c r="C56" s="66" t="s">
        <v>33</v>
      </c>
      <c r="D56" s="38">
        <v>1E-4</v>
      </c>
      <c r="E56" s="38" t="s">
        <v>327</v>
      </c>
      <c r="F56" s="38">
        <v>1</v>
      </c>
      <c r="G56" s="38">
        <v>1E-4</v>
      </c>
      <c r="H56" s="38"/>
      <c r="I56" s="38">
        <v>1E-4</v>
      </c>
      <c r="J56" s="77"/>
      <c r="K56" s="36">
        <f>AVERAGE(5260.46,1050.02,(0))/AVERAGE(26600484.17,(26172892.73),(26911361.42+211266.57))</f>
        <v>7.8983673948255641E-5</v>
      </c>
      <c r="L56" s="36">
        <f>AVERAGE(1.83,1.83,0)/AVERAGE(352793.24,673520.15,211266.57)</f>
        <v>2.9573846687045579E-6</v>
      </c>
      <c r="M56" s="36">
        <v>0.57940000000000003</v>
      </c>
    </row>
    <row r="57" spans="1:13">
      <c r="A57" s="139"/>
      <c r="B57" s="102" t="s">
        <v>166</v>
      </c>
      <c r="C57" s="66" t="s">
        <v>34</v>
      </c>
      <c r="D57" s="38"/>
      <c r="E57" s="38"/>
      <c r="F57" s="38"/>
      <c r="G57" s="38"/>
      <c r="H57" s="38"/>
      <c r="I57" s="38"/>
      <c r="J57" s="77"/>
      <c r="K57" s="30"/>
      <c r="L57" s="30"/>
      <c r="M57" s="30"/>
    </row>
    <row r="58" spans="1:13" ht="25.5">
      <c r="A58" s="139"/>
      <c r="B58" s="102" t="s">
        <v>167</v>
      </c>
      <c r="C58" s="66" t="s">
        <v>35</v>
      </c>
      <c r="D58" s="38"/>
      <c r="E58" s="38"/>
      <c r="F58" s="38"/>
      <c r="G58" s="38"/>
      <c r="H58" s="38"/>
      <c r="I58" s="38"/>
      <c r="J58" s="77"/>
      <c r="K58" s="30"/>
      <c r="L58" s="30"/>
      <c r="M58" s="30"/>
    </row>
    <row r="59" spans="1:13">
      <c r="A59" s="139"/>
      <c r="B59" s="102" t="s">
        <v>168</v>
      </c>
      <c r="C59" s="66" t="s">
        <v>36</v>
      </c>
      <c r="D59" s="38"/>
      <c r="E59" s="38"/>
      <c r="F59" s="38"/>
      <c r="G59" s="38"/>
      <c r="H59" s="38"/>
      <c r="I59" s="38"/>
      <c r="J59" s="77"/>
      <c r="K59" s="30"/>
      <c r="L59" s="30"/>
      <c r="M59" s="30"/>
    </row>
    <row r="60" spans="1:13" ht="25.5">
      <c r="A60" s="139"/>
      <c r="B60" s="102" t="s">
        <v>169</v>
      </c>
      <c r="C60" s="66" t="s">
        <v>37</v>
      </c>
      <c r="D60" s="38"/>
      <c r="E60" s="38"/>
      <c r="F60" s="38"/>
      <c r="G60" s="38"/>
      <c r="H60" s="38"/>
      <c r="I60" s="38"/>
      <c r="J60" s="77"/>
      <c r="K60" s="30"/>
      <c r="L60" s="30"/>
      <c r="M60" s="30"/>
    </row>
    <row r="61" spans="1:13" ht="25.5">
      <c r="A61" s="139"/>
      <c r="B61" s="102" t="s">
        <v>170</v>
      </c>
      <c r="C61" s="66" t="s">
        <v>38</v>
      </c>
      <c r="D61" s="38"/>
      <c r="E61" s="38"/>
      <c r="F61" s="38"/>
      <c r="G61" s="38"/>
      <c r="H61" s="38"/>
      <c r="I61" s="38"/>
      <c r="J61" s="77"/>
      <c r="K61" s="30"/>
      <c r="L61" s="30"/>
      <c r="M61" s="30"/>
    </row>
    <row r="62" spans="1:13" ht="38.25">
      <c r="A62" s="139"/>
      <c r="B62" s="102" t="s">
        <v>171</v>
      </c>
      <c r="C62" s="66" t="s">
        <v>315</v>
      </c>
      <c r="D62" s="38"/>
      <c r="E62" s="38" t="s">
        <v>327</v>
      </c>
      <c r="F62" s="38"/>
      <c r="G62" s="38"/>
      <c r="H62" s="38"/>
      <c r="I62" s="38"/>
      <c r="J62" s="77"/>
      <c r="K62" s="30"/>
      <c r="L62" s="30"/>
      <c r="M62" s="30"/>
    </row>
    <row r="63" spans="1:13" ht="48" customHeight="1" thickBot="1">
      <c r="A63" s="152"/>
      <c r="B63" s="162" t="s">
        <v>189</v>
      </c>
      <c r="C63" s="162"/>
      <c r="D63" s="85">
        <v>1E-4</v>
      </c>
      <c r="E63" s="85" t="s">
        <v>327</v>
      </c>
      <c r="F63" s="85">
        <v>1</v>
      </c>
      <c r="G63" s="85">
        <v>1E-4</v>
      </c>
      <c r="H63" s="85"/>
      <c r="I63" s="85">
        <v>1E-4</v>
      </c>
      <c r="J63" s="94"/>
      <c r="K63" s="36">
        <f>AVERAGE(5260.46,1050.02,(0))/AVERAGE(26600484.17,(26172892.73),(26911361.42+211266.57))</f>
        <v>7.8983673948255641E-5</v>
      </c>
      <c r="L63" s="36">
        <f>AVERAGE(1.83,1.83,0)/AVERAGE(352793.24,673520.15,211266.57)</f>
        <v>2.9573846687045579E-6</v>
      </c>
      <c r="M63" s="36">
        <v>0.57940000000000003</v>
      </c>
    </row>
    <row r="64" spans="1:13" ht="13.5" thickTop="1">
      <c r="A64" s="161" t="s">
        <v>190</v>
      </c>
      <c r="B64" s="104">
        <v>1</v>
      </c>
      <c r="C64" s="104" t="s">
        <v>39</v>
      </c>
      <c r="D64" s="86"/>
      <c r="E64" s="86"/>
      <c r="F64" s="86"/>
      <c r="G64" s="86"/>
      <c r="H64" s="86"/>
      <c r="I64" s="86"/>
      <c r="J64" s="95"/>
      <c r="K64" s="32"/>
      <c r="L64" s="32"/>
      <c r="M64" s="32"/>
    </row>
    <row r="65" spans="1:13">
      <c r="A65" s="139"/>
      <c r="B65" s="66">
        <v>2</v>
      </c>
      <c r="C65" s="66" t="s">
        <v>40</v>
      </c>
      <c r="D65" s="38"/>
      <c r="E65" s="38"/>
      <c r="F65" s="38"/>
      <c r="G65" s="38"/>
      <c r="H65" s="38"/>
      <c r="I65" s="38"/>
      <c r="J65" s="77"/>
      <c r="K65" s="30"/>
      <c r="L65" s="30"/>
      <c r="M65" s="30"/>
    </row>
    <row r="66" spans="1:13">
      <c r="A66" s="139"/>
      <c r="B66" s="66">
        <v>3</v>
      </c>
      <c r="C66" s="66" t="s">
        <v>41</v>
      </c>
      <c r="D66" s="38"/>
      <c r="E66" s="38"/>
      <c r="F66" s="38"/>
      <c r="G66" s="38"/>
      <c r="H66" s="38"/>
      <c r="I66" s="38"/>
      <c r="J66" s="77"/>
      <c r="K66" s="30"/>
      <c r="L66" s="30"/>
      <c r="M66" s="30"/>
    </row>
    <row r="67" spans="1:13">
      <c r="A67" s="139"/>
      <c r="B67" s="66">
        <v>4</v>
      </c>
      <c r="C67" s="66" t="s">
        <v>42</v>
      </c>
      <c r="D67" s="38"/>
      <c r="E67" s="38"/>
      <c r="F67" s="38"/>
      <c r="G67" s="38"/>
      <c r="H67" s="38"/>
      <c r="I67" s="38"/>
      <c r="J67" s="77"/>
      <c r="K67" s="30"/>
      <c r="L67" s="30"/>
      <c r="M67" s="30"/>
    </row>
    <row r="68" spans="1:13">
      <c r="A68" s="139"/>
      <c r="B68" s="66">
        <v>5</v>
      </c>
      <c r="C68" s="66" t="s">
        <v>43</v>
      </c>
      <c r="D68" s="38"/>
      <c r="E68" s="38"/>
      <c r="F68" s="38"/>
      <c r="G68" s="38"/>
      <c r="H68" s="38"/>
      <c r="I68" s="38"/>
      <c r="J68" s="77"/>
      <c r="K68" s="30"/>
      <c r="L68" s="30"/>
      <c r="M68" s="30"/>
    </row>
    <row r="69" spans="1:13" ht="25.5">
      <c r="A69" s="139"/>
      <c r="B69" s="66">
        <v>6</v>
      </c>
      <c r="C69" s="66" t="s">
        <v>316</v>
      </c>
      <c r="D69" s="38"/>
      <c r="E69" s="38"/>
      <c r="F69" s="38"/>
      <c r="G69" s="38"/>
      <c r="H69" s="38"/>
      <c r="I69" s="38"/>
      <c r="J69" s="77"/>
      <c r="K69" s="30"/>
      <c r="L69" s="30"/>
      <c r="M69" s="30"/>
    </row>
    <row r="70" spans="1:13" ht="33" customHeight="1" thickBot="1">
      <c r="A70" s="152"/>
      <c r="B70" s="162" t="s">
        <v>191</v>
      </c>
      <c r="C70" s="162"/>
      <c r="D70" s="85"/>
      <c r="E70" s="96" t="s">
        <v>327</v>
      </c>
      <c r="F70" s="96"/>
      <c r="G70" s="96"/>
      <c r="H70" s="96"/>
      <c r="I70" s="96"/>
      <c r="J70" s="97"/>
      <c r="K70" s="35"/>
      <c r="L70" s="35"/>
      <c r="M70" s="35"/>
    </row>
    <row r="71" spans="1:13" ht="13.5" thickTop="1">
      <c r="A71" s="161" t="s">
        <v>230</v>
      </c>
      <c r="B71" s="103" t="s">
        <v>163</v>
      </c>
      <c r="C71" s="104" t="s">
        <v>44</v>
      </c>
      <c r="D71" s="86"/>
      <c r="E71" s="86"/>
      <c r="F71" s="86"/>
      <c r="G71" s="86"/>
      <c r="H71" s="86"/>
      <c r="I71" s="86"/>
      <c r="J71" s="95"/>
      <c r="K71" s="32"/>
      <c r="L71" s="32"/>
      <c r="M71" s="32"/>
    </row>
    <row r="72" spans="1:13" ht="15">
      <c r="A72" s="139"/>
      <c r="B72" s="102" t="s">
        <v>164</v>
      </c>
      <c r="C72" s="66" t="s">
        <v>45</v>
      </c>
      <c r="D72" s="38">
        <v>2.0000000000000001E-4</v>
      </c>
      <c r="E72" s="38" t="s">
        <v>327</v>
      </c>
      <c r="F72" s="38">
        <v>1</v>
      </c>
      <c r="G72" s="38">
        <v>2.0000000000000001E-4</v>
      </c>
      <c r="H72" s="38">
        <v>0</v>
      </c>
      <c r="I72" s="38">
        <v>2.0000000000000001E-4</v>
      </c>
      <c r="J72" s="77"/>
      <c r="K72" s="36">
        <f>AVERAGE(129322.96,0,(242292))/AVERAGE(26636712.76,(26172892.73),(26911361.42+211266.57))</f>
        <v>4.6491251879378862E-3</v>
      </c>
      <c r="L72" s="36">
        <f>AVERAGE(0,0,0)/AVERAGE(352793.24,673520.15,211266.57)</f>
        <v>0</v>
      </c>
      <c r="M72" s="38">
        <v>0.71660000000000001</v>
      </c>
    </row>
    <row r="73" spans="1:13" ht="25.5">
      <c r="A73" s="139"/>
      <c r="B73" s="102" t="s">
        <v>165</v>
      </c>
      <c r="C73" s="66" t="s">
        <v>317</v>
      </c>
      <c r="D73" s="38"/>
      <c r="E73" s="38"/>
      <c r="F73" s="38"/>
      <c r="G73" s="38"/>
      <c r="H73" s="38"/>
      <c r="I73" s="38"/>
      <c r="J73" s="77"/>
      <c r="K73" s="30"/>
      <c r="L73" s="30"/>
      <c r="M73" s="30"/>
    </row>
    <row r="74" spans="1:13" ht="29.25" customHeight="1" thickBot="1">
      <c r="A74" s="152"/>
      <c r="B74" s="162" t="s">
        <v>231</v>
      </c>
      <c r="C74" s="162"/>
      <c r="D74" s="85">
        <v>2.0000000000000001E-4</v>
      </c>
      <c r="E74" s="85" t="s">
        <v>327</v>
      </c>
      <c r="F74" s="85">
        <v>1</v>
      </c>
      <c r="G74" s="85">
        <v>2.0000000000000001E-4</v>
      </c>
      <c r="H74" s="85"/>
      <c r="I74" s="85">
        <v>2.0000000000000001E-4</v>
      </c>
      <c r="J74" s="94"/>
      <c r="K74" s="36">
        <f>AVERAGE(129322.96,0,(242292))/AVERAGE(26636712.76,(26172892.73),(26911361.42+211266.57))</f>
        <v>4.6491251879378862E-3</v>
      </c>
      <c r="L74" s="36">
        <f>AVERAGE(0,0,0)/AVERAGE(352793.24,673520.15,211266.57)</f>
        <v>0</v>
      </c>
      <c r="M74" s="38">
        <v>0.71660000000000001</v>
      </c>
    </row>
    <row r="75" spans="1:13" ht="26.25" thickTop="1">
      <c r="A75" s="161" t="s">
        <v>233</v>
      </c>
      <c r="B75" s="103" t="s">
        <v>163</v>
      </c>
      <c r="C75" s="104" t="s">
        <v>46</v>
      </c>
      <c r="D75" s="86"/>
      <c r="E75" s="87"/>
      <c r="F75" s="87"/>
      <c r="G75" s="87"/>
      <c r="H75" s="87"/>
      <c r="I75" s="87"/>
      <c r="J75" s="88"/>
      <c r="K75" s="36">
        <f>AVERAGE(100000,0,0)/AVERAGE(26600484.17,26172892.73,(26911361.42+211266.57))</f>
        <v>1.251627038644535E-3</v>
      </c>
      <c r="L75" s="36">
        <f>AVERAGE(0,0,0)/AVERAGE(352793.24,673520.15,211266.57)</f>
        <v>0</v>
      </c>
      <c r="M75" s="36">
        <v>1</v>
      </c>
    </row>
    <row r="76" spans="1:13">
      <c r="A76" s="139"/>
      <c r="B76" s="102" t="s">
        <v>164</v>
      </c>
      <c r="C76" s="66" t="s">
        <v>47</v>
      </c>
      <c r="D76" s="38"/>
      <c r="E76" s="38"/>
      <c r="F76" s="38"/>
      <c r="G76" s="38"/>
      <c r="H76" s="38"/>
      <c r="I76" s="38"/>
      <c r="J76" s="77"/>
      <c r="K76" s="30"/>
      <c r="L76" s="30"/>
      <c r="M76" s="30"/>
    </row>
    <row r="77" spans="1:13">
      <c r="A77" s="139"/>
      <c r="B77" s="102" t="s">
        <v>165</v>
      </c>
      <c r="C77" s="66" t="s">
        <v>48</v>
      </c>
      <c r="D77" s="38"/>
      <c r="E77" s="38"/>
      <c r="F77" s="38"/>
      <c r="G77" s="38"/>
      <c r="H77" s="38"/>
      <c r="I77" s="38"/>
      <c r="J77" s="77"/>
      <c r="K77" s="30"/>
      <c r="L77" s="30"/>
      <c r="M77" s="30"/>
    </row>
    <row r="78" spans="1:13" ht="25.5">
      <c r="A78" s="139"/>
      <c r="B78" s="102" t="s">
        <v>166</v>
      </c>
      <c r="C78" s="66" t="s">
        <v>49</v>
      </c>
      <c r="D78" s="38"/>
      <c r="E78" s="38"/>
      <c r="F78" s="38"/>
      <c r="G78" s="38"/>
      <c r="H78" s="38"/>
      <c r="I78" s="38"/>
      <c r="J78" s="77"/>
      <c r="K78" s="30"/>
      <c r="L78" s="30"/>
      <c r="M78" s="30"/>
    </row>
    <row r="79" spans="1:13">
      <c r="A79" s="139"/>
      <c r="B79" s="102" t="s">
        <v>167</v>
      </c>
      <c r="C79" s="66" t="s">
        <v>50</v>
      </c>
      <c r="D79" s="38"/>
      <c r="E79" s="38"/>
      <c r="F79" s="38"/>
      <c r="G79" s="38"/>
      <c r="H79" s="38"/>
      <c r="I79" s="38"/>
      <c r="J79" s="77"/>
      <c r="K79" s="38" t="s">
        <v>327</v>
      </c>
      <c r="L79" s="38"/>
      <c r="M79" s="38"/>
    </row>
    <row r="80" spans="1:13">
      <c r="A80" s="139"/>
      <c r="B80" s="102" t="s">
        <v>168</v>
      </c>
      <c r="C80" s="66" t="s">
        <v>51</v>
      </c>
      <c r="D80" s="38"/>
      <c r="E80" s="38"/>
      <c r="F80" s="38"/>
      <c r="G80" s="38"/>
      <c r="H80" s="38"/>
      <c r="I80" s="38"/>
      <c r="J80" s="77"/>
      <c r="K80" s="30"/>
      <c r="L80" s="30"/>
      <c r="M80" s="30"/>
    </row>
    <row r="81" spans="1:15" ht="25.5">
      <c r="A81" s="139"/>
      <c r="B81" s="102" t="s">
        <v>169</v>
      </c>
      <c r="C81" s="66" t="s">
        <v>52</v>
      </c>
      <c r="D81" s="38"/>
      <c r="E81" s="38"/>
      <c r="F81" s="38"/>
      <c r="G81" s="38"/>
      <c r="H81" s="38"/>
      <c r="I81" s="38"/>
      <c r="J81" s="77"/>
      <c r="K81" s="30"/>
      <c r="L81" s="30"/>
      <c r="M81" s="30"/>
    </row>
    <row r="82" spans="1:15">
      <c r="A82" s="139"/>
      <c r="B82" s="102" t="s">
        <v>170</v>
      </c>
      <c r="C82" s="66" t="s">
        <v>53</v>
      </c>
      <c r="D82" s="38"/>
      <c r="E82" s="38"/>
      <c r="F82" s="38"/>
      <c r="G82" s="38"/>
      <c r="H82" s="38"/>
      <c r="I82" s="38"/>
      <c r="J82" s="77"/>
      <c r="K82" s="30"/>
      <c r="L82" s="30"/>
      <c r="M82" s="30"/>
    </row>
    <row r="83" spans="1:15">
      <c r="A83" s="139"/>
      <c r="B83" s="102" t="s">
        <v>171</v>
      </c>
      <c r="C83" s="66" t="s">
        <v>54</v>
      </c>
      <c r="D83" s="38"/>
      <c r="E83" s="38"/>
      <c r="F83" s="38"/>
      <c r="G83" s="38"/>
      <c r="H83" s="38"/>
      <c r="I83" s="38"/>
      <c r="J83" s="77"/>
      <c r="K83" s="30"/>
      <c r="L83" s="30"/>
      <c r="M83" s="30"/>
    </row>
    <row r="84" spans="1:15" ht="25.5">
      <c r="A84" s="139"/>
      <c r="B84" s="102" t="s">
        <v>172</v>
      </c>
      <c r="C84" s="66" t="s">
        <v>318</v>
      </c>
      <c r="D84" s="38">
        <v>2.0000000000000001E-4</v>
      </c>
      <c r="E84" s="38" t="s">
        <v>327</v>
      </c>
      <c r="F84" s="38">
        <v>1</v>
      </c>
      <c r="G84" s="38">
        <v>2.0000000000000001E-4</v>
      </c>
      <c r="H84" s="38">
        <v>0</v>
      </c>
      <c r="I84" s="38">
        <v>2.0000000000000001E-4</v>
      </c>
      <c r="J84" s="77"/>
      <c r="K84" s="36">
        <f>AVERAGE(200000,5000,30000)/AVERAGE(26600484.17,26172892.73,(26911361.42+211266.57))</f>
        <v>2.9413235408146565E-3</v>
      </c>
      <c r="L84" s="36">
        <f>AVERAGE(0,0,5000)/AVERAGE(352793.24,673520.15,211266.57)</f>
        <v>4.0401429900335491E-3</v>
      </c>
      <c r="M84" s="36">
        <v>0.18840000000000001</v>
      </c>
    </row>
    <row r="85" spans="1:15" ht="44.25" customHeight="1" thickBot="1">
      <c r="A85" s="152"/>
      <c r="B85" s="162" t="s">
        <v>234</v>
      </c>
      <c r="C85" s="162"/>
      <c r="D85" s="85">
        <v>2.0000000000000001E-4</v>
      </c>
      <c r="E85" s="85" t="s">
        <v>327</v>
      </c>
      <c r="F85" s="85">
        <v>1</v>
      </c>
      <c r="G85" s="85">
        <v>2.0000000000000001E-4</v>
      </c>
      <c r="H85" s="85">
        <v>0</v>
      </c>
      <c r="I85" s="85">
        <v>2.0000000000000001E-4</v>
      </c>
      <c r="J85" s="94"/>
      <c r="K85" s="36">
        <f>AVERAGE(300000,5000,30000)/AVERAGE(26600484.17,(26172892.73),(26911361.42+211266.57))</f>
        <v>4.1929505794591915E-3</v>
      </c>
      <c r="L85" s="36">
        <f>AVERAGE(0,0,5000)/AVERAGE(352793.24,673520.15,211266.57)</f>
        <v>4.0401429900335491E-3</v>
      </c>
      <c r="M85" s="36">
        <v>0.42270000000000002</v>
      </c>
      <c r="O85" s="4" t="s">
        <v>327</v>
      </c>
    </row>
    <row r="86" spans="1:15" ht="26.25" thickTop="1">
      <c r="A86" s="161" t="s">
        <v>235</v>
      </c>
      <c r="B86" s="103" t="s">
        <v>163</v>
      </c>
      <c r="C86" s="104" t="s">
        <v>55</v>
      </c>
      <c r="D86" s="86"/>
      <c r="E86" s="86"/>
      <c r="F86" s="86"/>
      <c r="G86" s="86"/>
      <c r="H86" s="86"/>
      <c r="I86" s="86"/>
      <c r="J86" s="95"/>
      <c r="K86" s="32"/>
      <c r="L86" s="32"/>
      <c r="M86" s="32"/>
      <c r="O86" s="4" t="s">
        <v>327</v>
      </c>
    </row>
    <row r="87" spans="1:15" ht="38.25">
      <c r="A87" s="139"/>
      <c r="B87" s="102" t="s">
        <v>164</v>
      </c>
      <c r="C87" s="66" t="s">
        <v>56</v>
      </c>
      <c r="D87" s="38"/>
      <c r="E87" s="98"/>
      <c r="F87" s="98"/>
      <c r="G87" s="98"/>
      <c r="H87" s="98"/>
      <c r="I87" s="98"/>
      <c r="J87" s="99"/>
      <c r="K87" s="30"/>
      <c r="L87" s="30"/>
      <c r="M87" s="30"/>
    </row>
    <row r="88" spans="1:15" ht="38.25">
      <c r="A88" s="139"/>
      <c r="B88" s="102" t="s">
        <v>165</v>
      </c>
      <c r="C88" s="66" t="s">
        <v>57</v>
      </c>
      <c r="D88" s="38"/>
      <c r="E88" s="38"/>
      <c r="F88" s="38"/>
      <c r="G88" s="38"/>
      <c r="H88" s="38"/>
      <c r="I88" s="38"/>
      <c r="J88" s="77"/>
      <c r="K88" s="30"/>
      <c r="L88" s="30"/>
      <c r="M88" s="30"/>
    </row>
    <row r="89" spans="1:15" ht="25.5">
      <c r="A89" s="139"/>
      <c r="B89" s="102" t="s">
        <v>166</v>
      </c>
      <c r="C89" s="66" t="s">
        <v>58</v>
      </c>
      <c r="D89" s="38"/>
      <c r="E89" s="38"/>
      <c r="F89" s="38"/>
      <c r="G89" s="38"/>
      <c r="H89" s="38"/>
      <c r="I89" s="38"/>
      <c r="J89" s="77"/>
      <c r="K89" s="30"/>
      <c r="L89" s="30"/>
      <c r="M89" s="30"/>
    </row>
    <row r="90" spans="1:15" ht="25.5">
      <c r="A90" s="139"/>
      <c r="B90" s="102" t="s">
        <v>167</v>
      </c>
      <c r="C90" s="66" t="s">
        <v>59</v>
      </c>
      <c r="D90" s="38"/>
      <c r="E90" s="38"/>
      <c r="F90" s="38"/>
      <c r="G90" s="38"/>
      <c r="H90" s="38"/>
      <c r="I90" s="38"/>
      <c r="J90" s="77"/>
      <c r="K90" s="30"/>
      <c r="L90" s="30"/>
      <c r="M90" s="30"/>
    </row>
    <row r="91" spans="1:15" ht="25.5">
      <c r="A91" s="139"/>
      <c r="B91" s="102" t="s">
        <v>168</v>
      </c>
      <c r="C91" s="66" t="s">
        <v>60</v>
      </c>
      <c r="D91" s="38"/>
      <c r="E91" s="38"/>
      <c r="F91" s="38"/>
      <c r="G91" s="38"/>
      <c r="H91" s="38"/>
      <c r="I91" s="38"/>
      <c r="J91" s="77"/>
      <c r="K91" s="30"/>
      <c r="L91" s="30"/>
      <c r="M91" s="30"/>
    </row>
    <row r="92" spans="1:15">
      <c r="A92" s="139"/>
      <c r="B92" s="102" t="s">
        <v>169</v>
      </c>
      <c r="C92" s="66" t="s">
        <v>61</v>
      </c>
      <c r="D92" s="38"/>
      <c r="E92" s="38"/>
      <c r="F92" s="38"/>
      <c r="G92" s="38"/>
      <c r="H92" s="38"/>
      <c r="I92" s="38"/>
      <c r="J92" s="77"/>
      <c r="K92" s="30"/>
      <c r="L92" s="30"/>
      <c r="M92" s="30"/>
    </row>
    <row r="93" spans="1:15" ht="25.5">
      <c r="A93" s="139"/>
      <c r="B93" s="102" t="s">
        <v>170</v>
      </c>
      <c r="C93" s="66" t="s">
        <v>319</v>
      </c>
      <c r="D93" s="38"/>
      <c r="E93" s="38"/>
      <c r="F93" s="38"/>
      <c r="G93" s="38"/>
      <c r="H93" s="38"/>
      <c r="I93" s="38"/>
      <c r="J93" s="77"/>
      <c r="K93" s="30"/>
      <c r="L93" s="30"/>
      <c r="M93" s="30"/>
    </row>
    <row r="94" spans="1:15" ht="24.75" customHeight="1" thickBot="1">
      <c r="A94" s="152"/>
      <c r="B94" s="162" t="s">
        <v>236</v>
      </c>
      <c r="C94" s="162"/>
      <c r="D94" s="85"/>
      <c r="E94" s="92" t="s">
        <v>327</v>
      </c>
      <c r="F94" s="92"/>
      <c r="G94" s="92"/>
      <c r="H94" s="92"/>
      <c r="I94" s="92"/>
      <c r="J94" s="93"/>
      <c r="K94" s="35"/>
      <c r="L94" s="35"/>
      <c r="M94" s="35"/>
    </row>
    <row r="95" spans="1:15" ht="13.5" thickTop="1">
      <c r="A95" s="161" t="s">
        <v>237</v>
      </c>
      <c r="B95" s="103" t="s">
        <v>163</v>
      </c>
      <c r="C95" s="104" t="s">
        <v>62</v>
      </c>
      <c r="D95" s="86"/>
      <c r="E95" s="86"/>
      <c r="F95" s="86"/>
      <c r="G95" s="86"/>
      <c r="H95" s="86"/>
      <c r="I95" s="86"/>
      <c r="J95" s="95"/>
      <c r="K95" s="32"/>
      <c r="L95" s="32"/>
      <c r="M95" s="32"/>
    </row>
    <row r="96" spans="1:15" ht="25.5">
      <c r="A96" s="139"/>
      <c r="B96" s="102" t="s">
        <v>164</v>
      </c>
      <c r="C96" s="66" t="s">
        <v>63</v>
      </c>
      <c r="D96" s="38">
        <v>1.6000000000000001E-3</v>
      </c>
      <c r="E96" s="38"/>
      <c r="F96" s="38">
        <v>1</v>
      </c>
      <c r="G96" s="38">
        <v>1.8E-3</v>
      </c>
      <c r="H96" s="38"/>
      <c r="I96" s="38">
        <v>1.8E-3</v>
      </c>
      <c r="J96" s="77"/>
      <c r="K96" s="36">
        <f>AVERAGE(83332.42,0,74999.37)/AVERAGE(26600484.17,(26172892.73),(26911361.42+211266.57))</f>
        <v>1.9817234944098836E-3</v>
      </c>
      <c r="L96" s="36">
        <v>0</v>
      </c>
      <c r="M96" s="36">
        <f>AVERAGE(83332.42,74999.37,0)/AVERAGE(83332.42,0,(74999.37+74999.37))</f>
        <v>0.67857113469114028</v>
      </c>
    </row>
    <row r="97" spans="1:13" ht="15">
      <c r="A97" s="139"/>
      <c r="B97" s="102" t="s">
        <v>165</v>
      </c>
      <c r="C97" s="66" t="s">
        <v>64</v>
      </c>
      <c r="D97" s="38">
        <v>3.3E-3</v>
      </c>
      <c r="E97" s="38"/>
      <c r="F97" s="38">
        <v>1</v>
      </c>
      <c r="G97" s="38">
        <v>3.5000000000000001E-3</v>
      </c>
      <c r="H97" s="38"/>
      <c r="I97" s="38">
        <v>3.5999999999999999E-3</v>
      </c>
      <c r="J97" s="99"/>
      <c r="K97" s="36">
        <f>AVERAGE(100000,100000,0)/AVERAGE(26600484.17,(26172892.73),(26911361.42+211266.57))</f>
        <v>2.50325407728907E-3</v>
      </c>
      <c r="L97" s="36">
        <v>0</v>
      </c>
      <c r="M97" s="36">
        <f>AVERAGE(100000,100000,0)/AVERAGE(100000,(100000),0)</f>
        <v>1</v>
      </c>
    </row>
    <row r="98" spans="1:13">
      <c r="A98" s="139"/>
      <c r="B98" s="102" t="s">
        <v>166</v>
      </c>
      <c r="C98" s="66" t="s">
        <v>65</v>
      </c>
      <c r="D98" s="38"/>
      <c r="E98" s="38"/>
      <c r="F98" s="38"/>
      <c r="G98" s="38"/>
      <c r="H98" s="38"/>
      <c r="I98" s="38"/>
      <c r="J98" s="77"/>
      <c r="K98" s="30"/>
      <c r="L98" s="30"/>
      <c r="M98" s="30"/>
    </row>
    <row r="99" spans="1:13" ht="25.5">
      <c r="A99" s="139"/>
      <c r="B99" s="102" t="s">
        <v>167</v>
      </c>
      <c r="C99" s="66" t="s">
        <v>320</v>
      </c>
      <c r="D99" s="38"/>
      <c r="E99" s="38"/>
      <c r="F99" s="38"/>
      <c r="G99" s="38"/>
      <c r="H99" s="38"/>
      <c r="I99" s="38"/>
      <c r="J99" s="77"/>
      <c r="K99" s="30"/>
      <c r="L99" s="30"/>
      <c r="M99" s="30"/>
    </row>
    <row r="100" spans="1:13" ht="15.75" thickBot="1">
      <c r="A100" s="152"/>
      <c r="B100" s="162" t="s">
        <v>238</v>
      </c>
      <c r="C100" s="162"/>
      <c r="D100" s="85">
        <v>4.8999999999999998E-3</v>
      </c>
      <c r="E100" s="85" t="s">
        <v>327</v>
      </c>
      <c r="F100" s="85">
        <v>1</v>
      </c>
      <c r="G100" s="85">
        <v>5.3E-3</v>
      </c>
      <c r="H100" s="85"/>
      <c r="I100" s="85">
        <v>5.4000000000000003E-3</v>
      </c>
      <c r="J100" s="94"/>
      <c r="K100" s="36">
        <f>AVERAGE(183332.42,100000,74999.37)/AVERAGE(26600484.17,(26172892.73),(26911361.42+211266.57))</f>
        <v>4.484977571698954E-3</v>
      </c>
      <c r="L100" s="36">
        <v>0</v>
      </c>
      <c r="M100" s="36">
        <f>AVERAGE(183332.42,174999.37,0)/AVERAGE(183332.42,(100000),(74999.37+74999.37))</f>
        <v>0.82692366272483153</v>
      </c>
    </row>
    <row r="101" spans="1:13" ht="13.5" thickTop="1">
      <c r="A101" s="161" t="s">
        <v>239</v>
      </c>
      <c r="B101" s="103" t="s">
        <v>163</v>
      </c>
      <c r="C101" s="104" t="s">
        <v>66</v>
      </c>
      <c r="D101" s="86"/>
      <c r="E101" s="86"/>
      <c r="F101" s="86"/>
      <c r="G101" s="86"/>
      <c r="H101" s="86"/>
      <c r="I101" s="86"/>
      <c r="J101" s="95"/>
      <c r="K101" s="32"/>
      <c r="L101" s="32"/>
      <c r="M101" s="32"/>
    </row>
    <row r="102" spans="1:13">
      <c r="A102" s="139"/>
      <c r="B102" s="102" t="s">
        <v>164</v>
      </c>
      <c r="C102" s="66" t="s">
        <v>67</v>
      </c>
      <c r="D102" s="38"/>
      <c r="E102" s="38"/>
      <c r="F102" s="38"/>
      <c r="G102" s="38"/>
      <c r="H102" s="38"/>
      <c r="I102" s="38"/>
      <c r="J102" s="77"/>
      <c r="K102" s="30"/>
      <c r="L102" s="30"/>
      <c r="M102" s="30"/>
    </row>
    <row r="103" spans="1:13">
      <c r="A103" s="139"/>
      <c r="B103" s="102" t="s">
        <v>165</v>
      </c>
      <c r="C103" s="66" t="s">
        <v>68</v>
      </c>
      <c r="D103" s="38"/>
      <c r="E103" s="38"/>
      <c r="F103" s="38"/>
      <c r="G103" s="38"/>
      <c r="H103" s="38"/>
      <c r="I103" s="38"/>
      <c r="J103" s="77"/>
      <c r="K103" s="30"/>
      <c r="L103" s="30"/>
      <c r="M103" s="30"/>
    </row>
    <row r="104" spans="1:13" ht="25.5">
      <c r="A104" s="139"/>
      <c r="B104" s="102" t="s">
        <v>166</v>
      </c>
      <c r="C104" s="66" t="s">
        <v>321</v>
      </c>
      <c r="D104" s="38"/>
      <c r="E104" s="38"/>
      <c r="F104" s="38"/>
      <c r="G104" s="38"/>
      <c r="H104" s="38"/>
      <c r="I104" s="38"/>
      <c r="J104" s="77"/>
      <c r="K104" s="30"/>
      <c r="L104" s="30"/>
      <c r="M104" s="30"/>
    </row>
    <row r="105" spans="1:13" ht="45.75" customHeight="1" thickBot="1">
      <c r="A105" s="152"/>
      <c r="B105" s="162" t="s">
        <v>240</v>
      </c>
      <c r="C105" s="162"/>
      <c r="D105" s="85"/>
      <c r="E105" s="92" t="s">
        <v>327</v>
      </c>
      <c r="F105" s="96"/>
      <c r="G105" s="96"/>
      <c r="H105" s="96"/>
      <c r="I105" s="96"/>
      <c r="J105" s="97"/>
      <c r="K105" s="35"/>
      <c r="L105" s="35"/>
      <c r="M105" s="35"/>
    </row>
    <row r="106" spans="1:13" ht="26.25" thickTop="1">
      <c r="A106" s="163" t="s">
        <v>241</v>
      </c>
      <c r="B106" s="103" t="s">
        <v>163</v>
      </c>
      <c r="C106" s="104" t="s">
        <v>69</v>
      </c>
      <c r="D106" s="86"/>
      <c r="E106" s="86"/>
      <c r="F106" s="86"/>
      <c r="G106" s="86"/>
      <c r="H106" s="86"/>
      <c r="I106" s="86"/>
      <c r="J106" s="95"/>
      <c r="K106" s="32"/>
      <c r="L106" s="32"/>
      <c r="M106" s="32"/>
    </row>
    <row r="107" spans="1:13">
      <c r="A107" s="164"/>
      <c r="B107" s="102" t="s">
        <v>164</v>
      </c>
      <c r="C107" s="66" t="s">
        <v>70</v>
      </c>
      <c r="D107" s="38"/>
      <c r="E107" s="38"/>
      <c r="F107" s="38"/>
      <c r="G107" s="38"/>
      <c r="H107" s="38"/>
      <c r="I107" s="38"/>
      <c r="J107" s="77"/>
      <c r="K107" s="30"/>
      <c r="L107" s="30"/>
      <c r="M107" s="30"/>
    </row>
    <row r="108" spans="1:13" ht="25.5">
      <c r="A108" s="164"/>
      <c r="B108" s="102" t="s">
        <v>165</v>
      </c>
      <c r="C108" s="66" t="s">
        <v>322</v>
      </c>
      <c r="D108" s="38"/>
      <c r="E108" s="38"/>
      <c r="F108" s="38"/>
      <c r="G108" s="38"/>
      <c r="H108" s="38"/>
      <c r="I108" s="38"/>
      <c r="J108" s="77"/>
      <c r="K108" s="30"/>
      <c r="L108" s="30"/>
      <c r="M108" s="30"/>
    </row>
    <row r="109" spans="1:13" ht="42.75" customHeight="1" thickBot="1">
      <c r="A109" s="165"/>
      <c r="B109" s="162" t="s">
        <v>242</v>
      </c>
      <c r="C109" s="162"/>
      <c r="D109" s="85"/>
      <c r="E109" s="92" t="s">
        <v>327</v>
      </c>
      <c r="F109" s="92"/>
      <c r="G109" s="92"/>
      <c r="H109" s="92"/>
      <c r="I109" s="92"/>
      <c r="J109" s="93"/>
      <c r="K109" s="35"/>
      <c r="L109" s="35"/>
      <c r="M109" s="35"/>
    </row>
    <row r="110" spans="1:13" ht="13.5" thickTop="1">
      <c r="A110" s="161" t="s">
        <v>192</v>
      </c>
      <c r="B110" s="103" t="s">
        <v>163</v>
      </c>
      <c r="C110" s="104" t="s">
        <v>71</v>
      </c>
      <c r="D110" s="86"/>
      <c r="E110" s="86"/>
      <c r="F110" s="86"/>
      <c r="G110" s="86"/>
      <c r="H110" s="86"/>
      <c r="I110" s="86"/>
      <c r="J110" s="95"/>
      <c r="K110" s="32"/>
      <c r="L110" s="32"/>
      <c r="M110" s="32"/>
    </row>
    <row r="111" spans="1:13" ht="25.5">
      <c r="A111" s="139"/>
      <c r="B111" s="102" t="s">
        <v>164</v>
      </c>
      <c r="C111" s="66" t="s">
        <v>323</v>
      </c>
      <c r="D111" s="38"/>
      <c r="E111" s="38"/>
      <c r="F111" s="38"/>
      <c r="G111" s="38"/>
      <c r="H111" s="38"/>
      <c r="I111" s="38"/>
      <c r="J111" s="77"/>
      <c r="K111" s="30"/>
      <c r="L111" s="30"/>
      <c r="M111" s="30"/>
    </row>
    <row r="112" spans="1:13" ht="52.5" customHeight="1" thickBot="1">
      <c r="A112" s="152"/>
      <c r="B112" s="162" t="s">
        <v>193</v>
      </c>
      <c r="C112" s="162"/>
      <c r="D112" s="85"/>
      <c r="E112" s="96" t="s">
        <v>327</v>
      </c>
      <c r="F112" s="96"/>
      <c r="G112" s="96"/>
      <c r="H112" s="96"/>
      <c r="I112" s="96"/>
      <c r="J112" s="97"/>
      <c r="K112" s="35"/>
      <c r="L112" s="35"/>
      <c r="M112" s="35"/>
    </row>
    <row r="113" spans="1:13" ht="26.25" thickTop="1">
      <c r="A113" s="161" t="s">
        <v>194</v>
      </c>
      <c r="B113" s="103" t="s">
        <v>163</v>
      </c>
      <c r="C113" s="104" t="s">
        <v>72</v>
      </c>
      <c r="D113" s="86"/>
      <c r="E113" s="86"/>
      <c r="F113" s="86"/>
      <c r="G113" s="86"/>
      <c r="H113" s="86"/>
      <c r="I113" s="86"/>
      <c r="J113" s="95"/>
      <c r="K113" s="32"/>
      <c r="L113" s="32"/>
      <c r="M113" s="32"/>
    </row>
    <row r="114" spans="1:13" ht="25.5">
      <c r="A114" s="139"/>
      <c r="B114" s="102" t="s">
        <v>164</v>
      </c>
      <c r="C114" s="66" t="s">
        <v>324</v>
      </c>
      <c r="D114" s="38">
        <v>2E-3</v>
      </c>
      <c r="E114" s="38"/>
      <c r="F114" s="38">
        <v>1</v>
      </c>
      <c r="G114" s="38">
        <v>2.2000000000000001E-3</v>
      </c>
      <c r="H114" s="38"/>
      <c r="I114" s="38">
        <v>2.2000000000000001E-3</v>
      </c>
      <c r="J114" s="77"/>
      <c r="K114" s="38">
        <f>AVERAGE(62000,62000,52000)/AVERAGE(26600484.17,(26172892.73),(26911361.42+211266.57))</f>
        <v>2.2028635880143813E-3</v>
      </c>
      <c r="L114" s="36">
        <v>0</v>
      </c>
      <c r="M114" s="38">
        <f>AVERAGE(62000,62000,52000)/AVERAGE(62000,62000,52000)</f>
        <v>1</v>
      </c>
    </row>
    <row r="115" spans="1:13" ht="55.5" customHeight="1" thickBot="1">
      <c r="A115" s="152"/>
      <c r="B115" s="162" t="s">
        <v>195</v>
      </c>
      <c r="C115" s="162"/>
      <c r="D115" s="85">
        <v>2E-3</v>
      </c>
      <c r="E115" s="85" t="s">
        <v>327</v>
      </c>
      <c r="F115" s="85">
        <v>1</v>
      </c>
      <c r="G115" s="85">
        <v>2.2000000000000001E-3</v>
      </c>
      <c r="H115" s="85"/>
      <c r="I115" s="85">
        <v>2.2000000000000001E-3</v>
      </c>
      <c r="J115" s="94"/>
      <c r="K115" s="38">
        <f>AVERAGE(62000,62000,52000)/AVERAGE(26600484.17,(26172892.73),(26911361.42+211266.57))</f>
        <v>2.2028635880143813E-3</v>
      </c>
      <c r="L115" s="36">
        <v>0</v>
      </c>
      <c r="M115" s="38">
        <f>AVERAGE(62000,62000,52000)/AVERAGE(62000,62000,52000)</f>
        <v>1</v>
      </c>
    </row>
    <row r="116" spans="1:13" ht="26.25" thickTop="1">
      <c r="A116" s="161" t="s">
        <v>243</v>
      </c>
      <c r="B116" s="103" t="s">
        <v>163</v>
      </c>
      <c r="C116" s="104" t="s">
        <v>73</v>
      </c>
      <c r="D116" s="86"/>
      <c r="E116" s="86"/>
      <c r="F116" s="86"/>
      <c r="G116" s="86"/>
      <c r="H116" s="86"/>
      <c r="I116" s="86"/>
      <c r="J116" s="95"/>
      <c r="K116" s="32"/>
      <c r="L116" s="32"/>
      <c r="M116" s="32"/>
    </row>
    <row r="117" spans="1:13">
      <c r="A117" s="139"/>
      <c r="B117" s="102" t="s">
        <v>164</v>
      </c>
      <c r="C117" s="66" t="s">
        <v>325</v>
      </c>
      <c r="D117" s="38"/>
      <c r="E117" s="38"/>
      <c r="F117" s="38"/>
      <c r="G117" s="38"/>
      <c r="H117" s="38"/>
      <c r="I117" s="38"/>
      <c r="J117" s="77"/>
      <c r="K117" s="30"/>
      <c r="L117" s="30"/>
      <c r="M117" s="30"/>
    </row>
    <row r="118" spans="1:13" ht="36" customHeight="1" thickBot="1">
      <c r="A118" s="152"/>
      <c r="B118" s="162" t="s">
        <v>244</v>
      </c>
      <c r="C118" s="162"/>
      <c r="D118" s="85"/>
      <c r="E118" s="96" t="s">
        <v>327</v>
      </c>
      <c r="F118" s="96"/>
      <c r="G118" s="96"/>
      <c r="H118" s="96"/>
      <c r="I118" s="96"/>
      <c r="J118" s="97"/>
      <c r="K118" s="35"/>
      <c r="L118" s="35"/>
      <c r="M118" s="35"/>
    </row>
    <row r="119" spans="1:13" ht="13.5" thickTop="1">
      <c r="A119" s="155" t="s">
        <v>245</v>
      </c>
      <c r="B119" s="104">
        <v>1</v>
      </c>
      <c r="C119" s="104" t="s">
        <v>74</v>
      </c>
      <c r="D119" s="86">
        <v>7.7999999999999996E-3</v>
      </c>
      <c r="E119" s="86"/>
      <c r="F119" s="86">
        <v>1</v>
      </c>
      <c r="G119" s="86">
        <v>5.0000000000000001E-3</v>
      </c>
      <c r="H119" s="86"/>
      <c r="I119" s="86">
        <v>4.1999999999999997E-3</v>
      </c>
      <c r="J119" s="95"/>
      <c r="K119" s="32"/>
      <c r="L119" s="32"/>
      <c r="M119" s="38"/>
    </row>
    <row r="120" spans="1:13">
      <c r="A120" s="156"/>
      <c r="B120" s="66">
        <v>2</v>
      </c>
      <c r="C120" s="66" t="s">
        <v>75</v>
      </c>
      <c r="D120" s="38"/>
      <c r="E120" s="38"/>
      <c r="F120" s="38"/>
      <c r="G120" s="38"/>
      <c r="H120" s="38"/>
      <c r="I120" s="38"/>
      <c r="J120" s="77"/>
      <c r="K120" s="30"/>
      <c r="L120" s="30"/>
      <c r="M120" s="30"/>
    </row>
    <row r="121" spans="1:13">
      <c r="A121" s="156"/>
      <c r="B121" s="66">
        <v>3</v>
      </c>
      <c r="C121" s="66" t="s">
        <v>76</v>
      </c>
      <c r="D121" s="38">
        <v>0.01</v>
      </c>
      <c r="E121" s="38"/>
      <c r="F121" s="38">
        <v>1</v>
      </c>
      <c r="G121" s="38">
        <v>1.9E-3</v>
      </c>
      <c r="H121" s="38"/>
      <c r="I121" s="38">
        <v>1.9E-3</v>
      </c>
      <c r="J121" s="77"/>
      <c r="K121" s="30"/>
      <c r="L121" s="30"/>
      <c r="M121" s="30"/>
    </row>
    <row r="122" spans="1:13" ht="35.25" customHeight="1" thickBot="1">
      <c r="A122" s="158"/>
      <c r="B122" s="162" t="s">
        <v>246</v>
      </c>
      <c r="C122" s="162"/>
      <c r="D122" s="85">
        <v>1.78E-2</v>
      </c>
      <c r="E122" s="85" t="s">
        <v>327</v>
      </c>
      <c r="F122" s="85">
        <v>1</v>
      </c>
      <c r="G122" s="85">
        <v>6.8999999999999999E-3</v>
      </c>
      <c r="H122" s="85"/>
      <c r="I122" s="85">
        <v>6.1000000000000004E-3</v>
      </c>
      <c r="J122" s="94"/>
      <c r="K122" s="41"/>
      <c r="L122" s="41"/>
      <c r="M122" s="41"/>
    </row>
    <row r="123" spans="1:13" ht="26.25" thickTop="1">
      <c r="A123" s="155" t="s">
        <v>247</v>
      </c>
      <c r="B123" s="103" t="s">
        <v>163</v>
      </c>
      <c r="C123" s="104" t="s">
        <v>77</v>
      </c>
      <c r="D123" s="86"/>
      <c r="E123" s="86"/>
      <c r="F123" s="86"/>
      <c r="G123" s="86"/>
      <c r="H123" s="86"/>
      <c r="I123" s="86"/>
      <c r="J123" s="95"/>
      <c r="K123" s="32"/>
      <c r="L123" s="32"/>
      <c r="M123" s="32"/>
    </row>
    <row r="124" spans="1:13" ht="25.5">
      <c r="A124" s="156"/>
      <c r="B124" s="102" t="s">
        <v>164</v>
      </c>
      <c r="C124" s="66" t="s">
        <v>78</v>
      </c>
      <c r="D124" s="38"/>
      <c r="E124" s="38"/>
      <c r="F124" s="38"/>
      <c r="G124" s="38"/>
      <c r="H124" s="38"/>
      <c r="I124" s="38"/>
      <c r="J124" s="77"/>
      <c r="K124" s="30"/>
      <c r="L124" s="30"/>
      <c r="M124" s="30"/>
    </row>
    <row r="125" spans="1:13" ht="15.75" thickBot="1">
      <c r="A125" s="158"/>
      <c r="B125" s="162" t="s">
        <v>248</v>
      </c>
      <c r="C125" s="162"/>
      <c r="D125" s="85"/>
      <c r="E125" s="92" t="s">
        <v>327</v>
      </c>
      <c r="F125" s="92"/>
      <c r="G125" s="92"/>
      <c r="H125" s="92"/>
      <c r="I125" s="92"/>
      <c r="J125" s="93"/>
      <c r="K125" s="35"/>
      <c r="L125" s="35"/>
      <c r="M125" s="35"/>
    </row>
    <row r="126" spans="1:13" ht="13.5" thickTop="1">
      <c r="A126" s="161" t="s">
        <v>249</v>
      </c>
      <c r="B126" s="103" t="s">
        <v>163</v>
      </c>
      <c r="C126" s="104" t="s">
        <v>409</v>
      </c>
      <c r="D126" s="86"/>
      <c r="E126" s="86"/>
      <c r="F126" s="86"/>
      <c r="G126" s="86"/>
      <c r="H126" s="86"/>
      <c r="I126" s="86"/>
      <c r="J126" s="95"/>
      <c r="K126" s="32"/>
      <c r="L126" s="32"/>
      <c r="M126" s="32"/>
    </row>
    <row r="127" spans="1:13" ht="49.5" customHeight="1" thickBot="1">
      <c r="A127" s="152"/>
      <c r="B127" s="162" t="s">
        <v>250</v>
      </c>
      <c r="C127" s="162"/>
      <c r="D127" s="85"/>
      <c r="E127" s="96" t="s">
        <v>327</v>
      </c>
      <c r="F127" s="96"/>
      <c r="G127" s="96"/>
      <c r="H127" s="96"/>
      <c r="I127" s="96"/>
      <c r="J127" s="97"/>
      <c r="K127" s="35"/>
      <c r="L127" s="35"/>
      <c r="M127" s="35"/>
    </row>
    <row r="128" spans="1:13" ht="15.75" thickTop="1">
      <c r="A128" s="167" t="s">
        <v>251</v>
      </c>
      <c r="B128" s="100" t="s">
        <v>163</v>
      </c>
      <c r="C128" s="101" t="s">
        <v>398</v>
      </c>
      <c r="D128" s="81">
        <v>0.158217</v>
      </c>
      <c r="E128" s="81" t="s">
        <v>327</v>
      </c>
      <c r="F128" s="81">
        <v>1</v>
      </c>
      <c r="G128" s="81">
        <v>0.17</v>
      </c>
      <c r="H128" s="81"/>
      <c r="I128" s="81">
        <v>0.17130000000000001</v>
      </c>
      <c r="J128" s="83"/>
      <c r="K128" s="38">
        <f>AVERAGE(4590533.41,4467411.93,4544733.72)/AVERAGE(26636712.76,(26172892.73),(26911361.42+211266.57))</f>
        <v>0.17017764258274543</v>
      </c>
      <c r="L128" s="36">
        <v>0</v>
      </c>
      <c r="M128" s="38">
        <v>0.99450000000000005</v>
      </c>
    </row>
    <row r="129" spans="1:15" ht="25.5">
      <c r="A129" s="156"/>
      <c r="B129" s="102" t="s">
        <v>164</v>
      </c>
      <c r="C129" s="66" t="s">
        <v>229</v>
      </c>
      <c r="D129" s="38"/>
      <c r="E129" s="38"/>
      <c r="F129" s="38"/>
      <c r="G129" s="38"/>
      <c r="H129" s="38"/>
      <c r="I129" s="38"/>
      <c r="J129" s="77"/>
      <c r="K129" s="30"/>
      <c r="L129" s="30"/>
      <c r="M129" s="30"/>
    </row>
    <row r="130" spans="1:15" ht="31.5" customHeight="1" thickBot="1">
      <c r="A130" s="158"/>
      <c r="B130" s="162" t="s">
        <v>252</v>
      </c>
      <c r="C130" s="162"/>
      <c r="D130" s="85">
        <v>0.15820000000000001</v>
      </c>
      <c r="E130" s="85" t="s">
        <v>327</v>
      </c>
      <c r="F130" s="85">
        <v>1</v>
      </c>
      <c r="G130" s="85">
        <v>0.17</v>
      </c>
      <c r="H130" s="85"/>
      <c r="I130" s="85">
        <v>0.17130000000000001</v>
      </c>
      <c r="J130" s="94"/>
      <c r="K130" s="38">
        <f>AVERAGE(4590533.41,4467411.93,4544733.72)/AVERAGE(26636712.76,(26172892.73),(26911361.42+211266.57))</f>
        <v>0.17017764258274543</v>
      </c>
      <c r="L130" s="36">
        <v>0</v>
      </c>
      <c r="M130" s="38">
        <v>0.99450000000000005</v>
      </c>
    </row>
    <row r="131" spans="1:15" ht="33.75" customHeight="1" thickTop="1">
      <c r="A131" s="166" t="s">
        <v>413</v>
      </c>
      <c r="B131" s="166"/>
      <c r="C131" s="166"/>
      <c r="D131" s="166"/>
      <c r="E131" s="166"/>
      <c r="F131" s="166"/>
      <c r="G131" s="166"/>
      <c r="H131" s="166"/>
      <c r="I131" s="166"/>
      <c r="J131" s="166"/>
      <c r="K131" s="166"/>
      <c r="L131" s="166"/>
      <c r="M131" s="166"/>
    </row>
    <row r="132" spans="1:15">
      <c r="A132" s="2"/>
      <c r="E132" s="3"/>
      <c r="F132" s="3"/>
      <c r="G132" s="3"/>
      <c r="H132" s="3"/>
      <c r="I132" s="3"/>
      <c r="J132" s="2"/>
    </row>
    <row r="133" spans="1:15" ht="28.5" customHeight="1">
      <c r="A133" s="2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</row>
    <row r="134" spans="1:15">
      <c r="A134" s="1"/>
      <c r="E134" s="3"/>
      <c r="F134" s="3"/>
      <c r="G134" s="3"/>
      <c r="H134" s="3"/>
      <c r="I134" s="3"/>
      <c r="J134" s="2"/>
    </row>
    <row r="135" spans="1:15">
      <c r="A135" s="2"/>
      <c r="E135" s="3"/>
      <c r="F135" s="3"/>
      <c r="G135" s="3"/>
      <c r="H135" s="3"/>
      <c r="I135" s="3"/>
      <c r="J135" s="2"/>
    </row>
    <row r="136" spans="1:15">
      <c r="A136" s="2"/>
      <c r="E136" s="42"/>
      <c r="F136" s="42"/>
      <c r="G136" s="42"/>
      <c r="H136" s="42"/>
      <c r="I136" s="42"/>
      <c r="J136" s="1"/>
    </row>
    <row r="137" spans="1:15">
      <c r="A137" s="1"/>
      <c r="E137" s="3"/>
      <c r="F137" s="3"/>
      <c r="G137" s="3"/>
      <c r="H137" s="3"/>
      <c r="I137" s="3"/>
      <c r="J137" s="2"/>
    </row>
    <row r="138" spans="1:15">
      <c r="A138" s="2"/>
      <c r="E138" s="42"/>
      <c r="F138" s="42"/>
      <c r="G138" s="42"/>
      <c r="H138" s="42"/>
      <c r="I138" s="42"/>
      <c r="J138" s="1"/>
    </row>
    <row r="139" spans="1:15">
      <c r="A139" s="1"/>
      <c r="E139" s="3"/>
      <c r="F139" s="3"/>
      <c r="G139" s="3"/>
      <c r="H139" s="3"/>
      <c r="I139" s="3"/>
      <c r="J139" s="2"/>
    </row>
    <row r="140" spans="1:15">
      <c r="A140" s="2"/>
      <c r="E140" s="3"/>
      <c r="F140" s="3"/>
      <c r="G140" s="3"/>
      <c r="H140" s="3"/>
      <c r="I140" s="3"/>
      <c r="J140" s="2"/>
    </row>
    <row r="141" spans="1:15">
      <c r="A141" s="2"/>
    </row>
  </sheetData>
  <mergeCells count="59">
    <mergeCell ref="A116:A118"/>
    <mergeCell ref="B118:C118"/>
    <mergeCell ref="A119:A122"/>
    <mergeCell ref="B122:C122"/>
    <mergeCell ref="A131:M131"/>
    <mergeCell ref="A123:A125"/>
    <mergeCell ref="B125:C125"/>
    <mergeCell ref="A126:A127"/>
    <mergeCell ref="B127:C127"/>
    <mergeCell ref="A128:A130"/>
    <mergeCell ref="B130:C130"/>
    <mergeCell ref="A106:A109"/>
    <mergeCell ref="B109:C109"/>
    <mergeCell ref="A110:A112"/>
    <mergeCell ref="B112:C112"/>
    <mergeCell ref="A113:A115"/>
    <mergeCell ref="B115:C115"/>
    <mergeCell ref="A86:A94"/>
    <mergeCell ref="B94:C94"/>
    <mergeCell ref="A95:A100"/>
    <mergeCell ref="B100:C100"/>
    <mergeCell ref="A101:A105"/>
    <mergeCell ref="B105:C105"/>
    <mergeCell ref="A64:A70"/>
    <mergeCell ref="B70:C70"/>
    <mergeCell ref="A71:A74"/>
    <mergeCell ref="B74:C74"/>
    <mergeCell ref="A75:A85"/>
    <mergeCell ref="B85:C85"/>
    <mergeCell ref="A47:A49"/>
    <mergeCell ref="B49:C49"/>
    <mergeCell ref="A50:A53"/>
    <mergeCell ref="B53:C53"/>
    <mergeCell ref="A54:A63"/>
    <mergeCell ref="B63:C63"/>
    <mergeCell ref="A30:A38"/>
    <mergeCell ref="B38:C38"/>
    <mergeCell ref="A39:A42"/>
    <mergeCell ref="B42:C42"/>
    <mergeCell ref="A43:A46"/>
    <mergeCell ref="B46:C46"/>
    <mergeCell ref="A9:A21"/>
    <mergeCell ref="B21:C21"/>
    <mergeCell ref="A22:A25"/>
    <mergeCell ref="B25:C25"/>
    <mergeCell ref="A26:A29"/>
    <mergeCell ref="B29:C29"/>
    <mergeCell ref="A2:M2"/>
    <mergeCell ref="A3:M3"/>
    <mergeCell ref="A4:M4"/>
    <mergeCell ref="A6:C8"/>
    <mergeCell ref="D6:J6"/>
    <mergeCell ref="K6:M6"/>
    <mergeCell ref="D7:F7"/>
    <mergeCell ref="G7:H7"/>
    <mergeCell ref="I7:J7"/>
    <mergeCell ref="K7:K8"/>
    <mergeCell ref="L7:L8"/>
    <mergeCell ref="M7:M8"/>
  </mergeCells>
  <printOptions horizontalCentered="1"/>
  <pageMargins left="0.70866141732283472" right="0.70866141732283472" top="0.35433070866141736" bottom="0.35433070866141736" header="0.31496062992125984" footer="0.31496062992125984"/>
  <pageSetup paperSize="8" scale="78" fitToHeight="80" orientation="landscape" cellComments="asDisplayed" r:id="rId1"/>
  <rowBreaks count="3" manualBreakCount="3">
    <brk id="42" max="12" man="1"/>
    <brk id="70" max="12" man="1"/>
    <brk id="105" max="12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6</vt:i4>
      </vt:variant>
    </vt:vector>
  </HeadingPairs>
  <TitlesOfParts>
    <vt:vector size="9" baseType="lpstr">
      <vt:lpstr>All A Indicatori sint 2020</vt:lpstr>
      <vt:lpstr>All A-Entrate - Ind. anal 2020</vt:lpstr>
      <vt:lpstr>All A Spese - Ind. anal 2020</vt:lpstr>
      <vt:lpstr>'All A Indicatori sint 2020'!Area_stampa</vt:lpstr>
      <vt:lpstr>'All A Spese - Ind. anal 2020'!Area_stampa</vt:lpstr>
      <vt:lpstr>'All A-Entrate - Ind. anal 2020'!Area_stampa</vt:lpstr>
      <vt:lpstr>'All A Indicatori sint 2020'!Titoli_stampa</vt:lpstr>
      <vt:lpstr>'All A Spese - Ind. anal 2020'!Titoli_stampa</vt:lpstr>
      <vt:lpstr>'All A-Entrate - Ind. anal 2020'!Titoli_stampa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g.tufaro</cp:lastModifiedBy>
  <cp:lastPrinted>2019-12-20T10:53:20Z</cp:lastPrinted>
  <dcterms:created xsi:type="dcterms:W3CDTF">2009-01-23T08:33:04Z</dcterms:created>
  <dcterms:modified xsi:type="dcterms:W3CDTF">2020-01-28T11:08:02Z</dcterms:modified>
</cp:coreProperties>
</file>